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drawings/drawing2.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embeddings/oleObject4.bin" ContentType="application/vnd.openxmlformats-officedocument.oleObject"/>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updateLinks="never" codeName="ThisWorkbook" defaultThemeVersion="124226"/>
  <mc:AlternateContent xmlns:mc="http://schemas.openxmlformats.org/markup-compatibility/2006">
    <mc:Choice Requires="x15">
      <x15ac:absPath xmlns:x15ac="http://schemas.microsoft.com/office/spreadsheetml/2010/11/ac" url="W:\TB\NFM_IMPLEMENTATION_ROU_T_RAA\Raportare catre FG\raport 4_01.01.2017_31.12.2017\"/>
    </mc:Choice>
  </mc:AlternateContent>
  <bookViews>
    <workbookView xWindow="-15" yWindow="2985" windowWidth="16425" windowHeight="2865" tabRatio="636" firstSheet="2" activeTab="5"/>
  </bookViews>
  <sheets>
    <sheet name="CoverSheet" sheetId="117" r:id="rId1"/>
    <sheet name="Admin Sheet" sheetId="124" state="veryHidden" r:id="rId2"/>
    <sheet name="Impact Outcome Indicators_1A" sheetId="2" r:id="rId3"/>
    <sheet name="Disaggregation_1A" sheetId="80" r:id="rId4"/>
    <sheet name="Coverage Indicators_1B" sheetId="64" r:id="rId5"/>
    <sheet name="Disaggregation_1B" sheetId="69" r:id="rId6"/>
    <sheet name="WPTM_1C" sheetId="83" r:id="rId7"/>
    <sheet name="PR Cash Reconciliation_2A,B,C,D" sheetId="125" r:id="rId8"/>
    <sheet name="PRCashReconADMIN" sheetId="131" state="veryHidden" r:id="rId9"/>
    <sheet name="SR_Cash Reconciliation_2E" sheetId="126" r:id="rId10"/>
    <sheet name="Budget Variance_2F" sheetId="127" r:id="rId11"/>
    <sheet name="Procurement_3" sheetId="39" r:id="rId12"/>
    <sheet name="Grant Management_4" sheetId="4" r:id="rId13"/>
    <sheet name="PR-LFA Evaluation_5" sheetId="30" r:id="rId14"/>
    <sheet name="LFA_Findings&amp;Recommendations_6" sheetId="41" r:id="rId15"/>
    <sheet name="PR Expenditure_7A" sheetId="120" r:id="rId16"/>
    <sheet name="Reference Records" sheetId="133" state="veryHidden" r:id="rId17"/>
    <sheet name="LFA Expenditure_7B" sheetId="121" r:id="rId18"/>
    <sheet name="CashForecastADMIN" sheetId="132" state="veryHidden" r:id="rId19"/>
    <sheet name="Cash Forecast_8A" sheetId="128" r:id="rId20"/>
    <sheet name="Request and Recommendation_8B" sheetId="129" r:id="rId21"/>
    <sheet name="Commitments_Obligations" sheetId="134" r:id="rId22"/>
    <sheet name="PR Authorization_9A" sheetId="97" r:id="rId23"/>
    <sheet name="LFA Authorization_9B" sheetId="96" r:id="rId24"/>
    <sheet name="Financial Triggers_10" sheetId="130" r:id="rId25"/>
    <sheet name="apttusmetadata" sheetId="123" state="veryHidden"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s>
  <definedNames>
    <definedName name="_00393c6c_8d57_4177_9317_ad9777da6999">WPTM_1C!$B$7</definedName>
    <definedName name="_00ae92c5_c2d0_4ad2_876a_2b822f6cec23">CoverSheet!$I$24</definedName>
    <definedName name="_00d5146d_74b1_4197_b33b_3bf31928ed01">'LFA_Findings&amp;Recommendations_6'!#REF!</definedName>
    <definedName name="_00de7129_653b_4d69_830e_62f54dcfdb6c">CoverSheet!$D$10</definedName>
    <definedName name="_013db90e_ff79_4e6d_a227_f1c5bfe2a8b2">'Cash Forecast_8A'!$K$36</definedName>
    <definedName name="_020865d7_3c80_401c_b694_aef5cdf00cd1">'Cash Forecast_8A'!$B$29</definedName>
    <definedName name="_042ce654_06c1_4167_a1e9_24169119e306">'Cash Forecast_8A'!$A$67</definedName>
    <definedName name="_043e01fb_d017_40fb_88c5_3cfca2389a53">'LFA Expenditure_7B'!$J$7</definedName>
    <definedName name="_044b8821_e976_4be1_bf97_3243e6d2ae0e" comment="Display Map">'LFA Expenditure_7B'!$A$21:$Q$21</definedName>
    <definedName name="_04b2d560_412e_44de_ab55_9706d2370303">'Cash Forecast_8A'!$D$36</definedName>
    <definedName name="_04c7f0c7_5556_4402_b3b7_baad02ff9c4b">'PR Expenditure_7A'!$J$61</definedName>
    <definedName name="_052ec340_bf50_463c_99c1_853005770742">'LFA Expenditure_7B'!$C$38</definedName>
    <definedName name="_054f41e6_8a63_40d9_885d_633d6aba7e4b">'Coverage Indicators_1B'!$S$10</definedName>
    <definedName name="_055e1bed_26f5_4cad_bd36_a1ca2cd3a397">'Impact Outcome Indicators_1A'!$P$18</definedName>
    <definedName name="_06ccafbb_536a_4251_90da_2c3a122a8ebd">'Cash Forecast_8A'!$C$87</definedName>
    <definedName name="_073a3630_5d07_4123_818b_c78d2e57b54a">'Impact Outcome Indicators_1A'!$K$18</definedName>
    <definedName name="_086d13e1_625e_4efb_85a0_69eeb3621f80">'Cash Forecast_8A'!$Q$9</definedName>
    <definedName name="_08fcfab9_6347_4f75_809d_0d5647b70b40">Disaggregation_1B!$E$7</definedName>
    <definedName name="_0943cb66_cbcd_4032_a004_abb78319ecbc">'Budget Variance_2F'!$E$30</definedName>
    <definedName name="_09a04d0e_a748_45bc_b123_289a1e7a9beb">'Impact Outcome Indicators_1A'!$W$9</definedName>
    <definedName name="_0ac98eeb_96d2_4aa2_a766_803ab333aa38">'LFA Expenditure_7B'!$O$22</definedName>
    <definedName name="_0b143747_ef81_457c_9a6f_63232248d20f">Disaggregation_1A!$A$6:$Q$6</definedName>
    <definedName name="_0c34a225_b77a_4604_b753_5c322c38cfcc">Disaggregation_1A!$M$7</definedName>
    <definedName name="_0cd2b372_5397_4af7_8d5f_a0ad0b01942a">'PR Expenditure_7A'!$D$23</definedName>
    <definedName name="_0e14162e_da6c_4526_83e0_a59265e5e7b7">'LFA Expenditure_7B'!$E$7</definedName>
    <definedName name="_0e36b323_79a7_4d8a_a902_2d6b800ee4d1">'Reference Records'!$E$12:$E$25</definedName>
    <definedName name="_0f11e686_8b9d_428a_b5cf_e1469f97e018">'LFA_Findings&amp;Recommendations_6'!$A$10</definedName>
    <definedName name="_0f17fc29_fea6_4ed3_b8ac_a983ef2a9f4e">'Coverage Indicators_1B'!#REF!</definedName>
    <definedName name="_0f4ae046_3d1e_4f53_bcd7_a375cb1b4810">Disaggregation_1A!$Q$9</definedName>
    <definedName name="_0fe31f80_3bc5_4c17_9052_e1bffd2f705f">'LFA Expenditure_7B'!$J$24</definedName>
    <definedName name="_100ce52b_b666_4927_b750_4db18c820a29">'Budget Variance_2F'!$D$25</definedName>
    <definedName name="_10568f43_0617_4779_b005_c2110ef5d5eb">'PR Expenditure_7A'!$A$8</definedName>
    <definedName name="_10e60d28_5830_4c8c_af9f_409fd1e77b22">'Reference Records'!$D$30</definedName>
    <definedName name="_10ede691_a7c5_40be_8a7a_1041515faf68">'Budget Variance_2F'!$E$14</definedName>
    <definedName name="_113bb73b_de08_469f_94a3_c7a433de3c91">Disaggregation_1A!$B$7</definedName>
    <definedName name="_119930c0_01ed_47e4_9c9f_42ad97c29583">'Coverage Indicators_1B'!$N$10</definedName>
    <definedName name="_130918f5_3863_4e1b_8039_96bc99cbfe64">'Cash Forecast_8A'!$F$67</definedName>
    <definedName name="_1387ba05_1187_4e84_ac8a_8124d7cd2fd4">PRCashReconADMIN!$H$4</definedName>
    <definedName name="_13dfa275_bbd0_40ad_a148_564b28bd98bf">'Cash Forecast_8A'!$L$87</definedName>
    <definedName name="_1459108f_5271_4954_8daa_c1a161f6dacd">Disaggregation_1B!$A$6:$W$24</definedName>
    <definedName name="_145a5628_580b_411d_98dd_5082ce47803f">'Budget Variance_2F'!$D$14</definedName>
    <definedName name="_14c42e70_d543_4438_b61a_7994442d4714" comment="Display Map">'Cash Forecast_8A'!$A$28:$P$34</definedName>
    <definedName name="_14f93dd7_4613_4b36_b70e_8b96edb69f9b">'Impact Outcome Indicators_1A'!$P$9</definedName>
    <definedName name="_15d274d4_ab1e_4943_8157_30def03903f9">CoverSheet!$J$6</definedName>
    <definedName name="_16ad6929_383e_4f1f_8987_192f281b29ab">'Coverage Indicators_1B'!$Q$10</definedName>
    <definedName name="_16dcd257_a9f9_4e76_a66a_28db3694a9ff">WPTM_1C!$A$6:$T$6</definedName>
    <definedName name="_1701acac_9651_4cbd_b961_8ee16c43c8fe">'Reference Records'!$K$30</definedName>
    <definedName name="_18802850_5b2b_4dab_b1c0_3548e784628d">'Impact Outcome Indicators_1A'!$O$18</definedName>
    <definedName name="_1892798a_6092_4051_a14a_ce7e187d1059">'PR Expenditure_7A'!$D$25</definedName>
    <definedName name="_1920be43_b5da_40bb_b266_1424bf262d00">'Cash Forecast_8A'!$A$36</definedName>
    <definedName name="_196c782f_031e_436a_becc_d259bfe31210">'Impact Outcome Indicators_1A'!$N$18</definedName>
    <definedName name="_19996227_bed9_4e7c_a847_63d89f91baaf">'Budget Variance_2F'!$J$24</definedName>
    <definedName name="_1a160a3f_f2b7_4676_a745_516ddc5a5da2">'Budget Variance_2F'!$J$30</definedName>
    <definedName name="_1a96baa2_f019_4b63_8d20_f154cf151bd6">'Admin Sheet'!$D$3</definedName>
    <definedName name="_1afae577_735f_4f21_ab13_e88a8cab8b8b">Disaggregation_1B!$M$7</definedName>
    <definedName name="_1bbcf195_5a32_4af0_8d08_943045d0223f">Disaggregation_1A!$B$9</definedName>
    <definedName name="_1bc20586_67b1_4c42_a17c_fc26f13a0240">'PR Expenditure_7A'!$C$61</definedName>
    <definedName name="_1bd6c036_2829_4952_b68b_fa55884f1760">'Impact Outcome Indicators_1A'!$E$18</definedName>
    <definedName name="_1bea1016_359f_41a7_8284_13cff42b3c6f">PRCashReconADMIN!$A$4</definedName>
    <definedName name="_1befe063_b14c_4d4e_a4f0_c6c920429848">'Reference Records'!$K$12</definedName>
    <definedName name="_1cc8734c_54b1_4979_9b67_97078798e67f">Disaggregation_1A!$H$9</definedName>
    <definedName name="_1d280c19_5e23_4237_869a_5758b70b3417">'Coverage Indicators_1B'!$E$10</definedName>
    <definedName name="_1eade3bb_934c_4a06_b39b_22f8cd7db62e" comment="Display Map">PRCashReconADMIN!$A$3:$H$40</definedName>
    <definedName name="_1eaeb8c9_bb38_4a21_8744_4002b059dc7f">'LFA Expenditure_7B'!$Q$22</definedName>
    <definedName name="_1ecfe9a3_e986_4fb6_a597_f87f5693a738">'Coverage Indicators_1B'!$A$9:$AJ$17</definedName>
    <definedName name="_1f98dc35_13e3_4e81_93fc_e97f3243151d">'LFA_Findings&amp;Recommendations_6'!#REF!</definedName>
    <definedName name="_20983c61_c284_48d8_b87e_a9ac4854a3a4" comment="Display Map">'PR Expenditure_7A'!$A$22:$Q$22</definedName>
    <definedName name="_2169bd94_e0fa_4d2a_8a98_4137526dafab">'Cash Forecast_8A'!$E$67</definedName>
    <definedName name="_219fcf23_38c5_480b_92c2_55d84a3b972d">'Admin Sheet'!$D$2</definedName>
    <definedName name="_219ff17b_a9b9_4b3b_ad49_d9a27ad0d864">'Cash Forecast_8A'!$J$29</definedName>
    <definedName name="_21a32645_bee5_4d79_ad0d_7ff57467cefb">Disaggregation_1A!$N$9</definedName>
    <definedName name="_21c46a8d_93da_46e0_a7a2_8fe24ceb4d39">'Cash Forecast_8A'!$C$29</definedName>
    <definedName name="_2231cb92_7d38_49e4_9816_c1eed6bcae87">'Reference Records'!$D$12:$D$25</definedName>
    <definedName name="_223bc551_7f38_45a4_a202_f4990a2ef7e6">PRCashReconADMIN!$F$4</definedName>
    <definedName name="_225eb437_fd98_478e_acdb_e6decb5b26c0">'LFA Expenditure_7B'!$P$22</definedName>
    <definedName name="_22c84952_9caa_4452_a64a_c3af8c6876dc">'PR Expenditure_7A'!$S$25</definedName>
    <definedName name="_2315f23c_93dc_4ce7_9c63_454e1f56dd1d">'Grant Management_4'!$G$10</definedName>
    <definedName name="_233637c6_24f9_45a5_af86_5a3487e51cc7">'Admin Sheet'!$D$1</definedName>
    <definedName name="_25911028_0f67_4723_8659_b5c924ca6e8a">'LFA Expenditure_7B'!$Q$38</definedName>
    <definedName name="_25a3cd0b_6866_4ce2_bf22_b61872a77555">'Coverage Indicators_1B'!$U$10</definedName>
    <definedName name="_26f87514_931a_4d7a_af3c_a4a66c9f1e7b">'Cash Forecast_8A'!$N$29</definedName>
    <definedName name="_27f4b9fe_7570_46d7_b168_a609c0229fa7">'PR Expenditure_7A'!$O$61</definedName>
    <definedName name="_28629c3c_6465_4c01_aeec_8c404d525a96">'Reference Records'!$G$97</definedName>
    <definedName name="_28da5a53_81c6_4abc_977d_1a60698aee05">'Impact Outcome Indicators_1A'!$M$18</definedName>
    <definedName name="_28db3868_fae6_469a_a1e9_a72c39a3a421">CashForecastADMIN!$B$7</definedName>
    <definedName name="_28f05f2c_a8e7_486c_a624_df3ab63f462e" comment="Display Map">'PR Expenditure_7A'!$A$38:$Q$54</definedName>
    <definedName name="_292c06c9_ce35_492d_acd2_a7b81b0ac17e">Disaggregation_1A!$A$8:$Q$11</definedName>
    <definedName name="_2947641e_f93c_4d9b_b06c_5ccc98456ed8">CoverSheet!$D$8</definedName>
    <definedName name="_2a830e2d_048e_4d7d_b5e8_9bf8e001d74e">'Cash Forecast_8A'!$H$29</definedName>
    <definedName name="_2a8c7da7_7999_4023_9ca3_98d208e1a5c1">'Budget Variance_2F'!$J$15</definedName>
    <definedName name="_2bc6933d_04d2_4383_87a2_28ea612052e0">CashForecastADMIN!$B$14</definedName>
    <definedName name="_2bd667c2_b07c_4f85_9c17_437c87411b89">Procurement_3!#REF!</definedName>
    <definedName name="_2d180e5b_a8dc_4d88_ac6d_ea7f6a4ddc2e">'LFA_Findings&amp;Recommendations_6'!$A$9:$H$40</definedName>
    <definedName name="_2d4ea633_1065_472f_9f03_05290b260d4b">'Budget Variance_2F'!$D$15</definedName>
    <definedName name="_2daa7e64_d40c_4d4a_975a_1f8d56f905d8">Procurement_3!$N$75</definedName>
    <definedName name="_2de1d6dc_5d51_45ba_a57e_94fb61db207e">Disaggregation_1A!$I$7</definedName>
    <definedName name="_2e5e9857_4e10_4a56_973a_e59f4cde4437">'LFA_Findings&amp;Recommendations_6'!$G$10</definedName>
    <definedName name="_2ef7ad1b_f502_4237_84e2_742814fefb9b">'Grant Management_4'!$B$29:$N$29</definedName>
    <definedName name="_2f01cb3a_bd35_43f6_8a56_6c9ff15320bf">'Cash Forecast_8A'!$N$67</definedName>
    <definedName name="_2fa6b032_e3aa_4261_b4fa_b1d1cb907517">'PR Expenditure_7A'!$I$61</definedName>
    <definedName name="_30343b5b_c92d_4aa4_8ada_996a46d79bd8">Disaggregation_1B!$B$7</definedName>
    <definedName name="_308f36ed_3ec3_4b5e_a7ef_068e9efcfbfa">'PR Expenditure_7A'!$C$8</definedName>
    <definedName name="_30fc9f06_7286_4af3_98b9_86ab7a47b10c">'SR_Cash Reconciliation_2E'!$U$9</definedName>
    <definedName name="_314909c1_7186_48e4_ba7c_6411a723e39e">CashForecastADMIN!$B$6</definedName>
    <definedName name="_321bdd85_502b_4183_bd1b_084e665c8158">'Impact Outcome Indicators_1A'!$Y$18</definedName>
    <definedName name="_321ef185_1761_46fd_b52e_0d229344eff4">'Coverage Indicators_1B'!$B$10</definedName>
    <definedName name="_32df6307_1ed0_420d_b88e_8dc735aeddd8">'Cash Forecast_8A'!$D$97</definedName>
    <definedName name="_338b2845_6b5a_4d06_8aa4_bd4b04efa20c">Procurement_3!$N$77</definedName>
    <definedName name="_33b8ce3b_2fd9_4b5f_bfcc_332f0c1fcdb5">'PR Expenditure_7A'!$O$23</definedName>
    <definedName name="_33bfa495_fb7f_4857_83af_00e73a2bffff" comment="Display Map">'Cash Forecast_8A'!$B$89:$L$93</definedName>
    <definedName name="_33ec85e3_1d82_4661_af0c_de69c28064eb">CashForecastADMIN!$C$8</definedName>
    <definedName name="_34964a85_c5c7_49d6_b3c8_e09a85ac566c">'SR_Cash Reconciliation_2E'!$D$9</definedName>
    <definedName name="_34e80041_da16_4c7b_9e6e_de290a63a392">CoverSheet!$I$27</definedName>
    <definedName name="_35f4702c_4bdb_49e0_afbd_86118ef8c3d4">WPTM_1C!$H$7</definedName>
    <definedName name="_36ca5e67_0a0c_4eec_ab76_2cb16c50db12">'Impact Outcome Indicators_1A'!$AG$18</definedName>
    <definedName name="_377e3cfe_4a94_4eeb_b5ff_dcfbf98c515c">'PR Expenditure_7A'!$Q$23</definedName>
    <definedName name="_377f46e6_f164_47aa_9586_9c66d127899d">'LFA Expenditure_7B'!$S$24</definedName>
    <definedName name="_37b06c3e_105e_4ca8_9415_8855f3bd5b22">Disaggregation_1A!$N$7</definedName>
    <definedName name="_37db1711_8738_45c6_9643_fb2871345063">Disaggregation_1A!$M$9</definedName>
    <definedName name="_3832589c_f9a7_4728_859c_d0417e3813dd">'Cash Forecast_8A'!$E$29</definedName>
    <definedName name="_38d4a099_225a_4e24_9631_69f5e85de29b">'LFA Expenditure_7B'!$C$31</definedName>
    <definedName name="_396236b7_966e_4eb5_9f97_3c01d7538a3b">Disaggregation_1A!$F$9</definedName>
    <definedName name="_3a02ad2c_e6f6_4e6f_85e1_6ef9075011f3">'Budget Variance_2F'!$E$15</definedName>
    <definedName name="_3a76683f_d345_4c95_8282_5b5e21a22770">'Impact Outcome Indicators_1A'!$H$9</definedName>
    <definedName name="_3aacb349_ecc9_4ae9_85b0_6066ef0bf52b">'Impact Outcome Indicators_1A'!$L$9</definedName>
    <definedName name="_3ab3330c_cb0d_4fba_b19d_52bee4318bf8">'Coverage Indicators_1B'!$M$10</definedName>
    <definedName name="_3ad88ce5_1461_486f_ae0c_11869eafb3ce">Disaggregation_1A!$E$7</definedName>
    <definedName name="_3bf0c535_5ae3_4343_8684_0584859ef683">Disaggregation_1A!$D$7</definedName>
    <definedName name="_3c170bbf_05f9_4840_a645_d1b1e8cb4cf5">'Coverage Indicators_1B'!$I$10</definedName>
    <definedName name="_3caeb6c9_b0ca_41eb_a277_7ac32c045355">'Cash Forecast_8A'!$E$9</definedName>
    <definedName name="_3ccd8da5_d802_43be_bf96_8cd3e3e2ea6d">'Budget Variance_2F'!$J$9</definedName>
    <definedName name="_3d3793be_1e63_4bdf_9b9e_39ce0b9e6cac">'Cash Forecast_8A'!$N$36</definedName>
    <definedName name="_3e00c257_4141_4ab7_8332_40515322c73c">'Admin Sheet'!$B$41</definedName>
    <definedName name="_3e93aceb_0d50_4f6c_adf1_1b622b57f819">'LFA Expenditure_7B'!$B$60</definedName>
    <definedName name="_3ec0413f_896f_4c71_bf51_f8232da5a7f1">'Reference Records'!$D$6:$D$8</definedName>
    <definedName name="_3f193f7e_7899_40e4_8d74_00739199c1aa">'Admin Sheet'!$B$3</definedName>
    <definedName name="_407abfb8_1ae8_49c0_aa37_e10f8d81755a">'Impact Outcome Indicators_1A'!$S$9</definedName>
    <definedName name="_408bf7b7_ceb6_431f_b2bb_b34238526016">'Coverage Indicators_1B'!$Z$10</definedName>
    <definedName name="_415987cd_23a8_4581_bfec_60b857e66c57">'LFA Expenditure_7B'!$C$24</definedName>
    <definedName name="_41c524ab_256a_461a_bf83_8de5fd5e08e6">'Reference Records'!$E$30</definedName>
    <definedName name="_41e30b64_79d1_498f_a7a5_962c910761f9">'Cash Forecast_8A'!$F$9</definedName>
    <definedName name="_424ee8c5_eba0_475e_8ba9_3f82ba75ec3a">Disaggregation_1B!$S$7</definedName>
    <definedName name="_431bec30_9151_4575_ad35_63ae37a09dc9">'Cash Forecast_8A'!$B$87</definedName>
    <definedName name="_45028af2_2d25_4b6f_988e_f482a26f6734">'PR Expenditure_7A'!$A$61</definedName>
    <definedName name="_45eb9c53_c249_4d2a_a96a_0c5c02d7146e">'Cash Forecast_8A'!$K$29</definedName>
    <definedName name="_460623a4_b184_46d6_915b_acfa35cd6d89">'Cash Forecast_8A'!$P$9</definedName>
    <definedName name="_461e04ec_dba7_4056_9b90_03a3225274cd">WPTM_1C!$D$7</definedName>
    <definedName name="_465a1fab_530c_48d1_9b33_102e3fd3fa81">'Admin Sheet'!$A$4:$D$25</definedName>
    <definedName name="_46f2d228_fc85_4810_a397_5be40b6fee67">'Impact Outcome Indicators_1A'!$W$18</definedName>
    <definedName name="_4707885f_20f4_42ec_a075_05a190ee5fe0">'LFA Expenditure_7B'!$J$31</definedName>
    <definedName name="_47832571_541b_416c_9057_64568b517512">'Coverage Indicators_1B'!$J$10</definedName>
    <definedName name="_48ec914d_649a_4528_9a9c_240085790603">WPTM_1C!$J$7</definedName>
    <definedName name="_4a800aae_3447_45d9_9473_aa8691751a3a">'Cash Forecast_8A'!$J$36</definedName>
    <definedName name="_4a93397f_3f34_40fe_ada7_481d6cf821ac">'LFA Expenditure_7B'!$C$7</definedName>
    <definedName name="_4b2d5491_5d79_4b63_b12a_d8361f65ed0b">'SR_Cash Reconciliation_2E'!$I$9</definedName>
    <definedName name="_4b40c56f_b116_4ee3_ab9c_552d2b9dbc32">'PR Expenditure_7A'!$Q$39</definedName>
    <definedName name="_4b86dce4_479c_41c6_bdd0_81dfaf4cda01">'Reference Records'!$D$12</definedName>
    <definedName name="_4c7a6e00_b677_4862_bc71_3154b071a4dd">'Grant Management_4'!$B$30</definedName>
    <definedName name="_4cfc71e4_86e0_4c0d_9cdf_8ecc78cdfab9">'PR Expenditure_7A'!$O$8</definedName>
    <definedName name="_4d8e10b9_0bdb_4ebe_a4b5_40513543381d">'LFA_Findings&amp;Recommendations_6'!#REF!</definedName>
    <definedName name="_5068da6d_e013_40e3_b3ee_dd21ab9d37fb">'LFA_Findings&amp;Recommendations_6'!#REF!</definedName>
    <definedName name="_50ec6630_e2cf_43db_8ebd_50858b11dea8">'LFA Expenditure_7B'!$J$60</definedName>
    <definedName name="_514895ff_4e8b_44d9_9b3d_30a9ad058775">'PR Expenditure_7A'!$I$25</definedName>
    <definedName name="_516f8add_7223_4c28_9de0_b227f1f60194">'Reference Records'!$D$6</definedName>
    <definedName name="_51dd4bc0_d63f_42af_81c9_b4b5bc566e27">'Grant Management_4'!$D$30</definedName>
    <definedName name="_527b259f_39c4_4e0c_8947_7603437a1298">'Impact Outcome Indicators_1A'!$F$9</definedName>
    <definedName name="_536872f5_daee_4a8e_b4d3_6a37f5a235bb" comment="Display Map">'Reference Records'!$B$5:$D$7</definedName>
    <definedName name="_554ce22a_9256_467d_8887_638cce27773c">'LFA Expenditure_7B'!$B$38</definedName>
    <definedName name="_55922287_1b12_4f88_b1dd_2618af26db4e">'Cash Forecast_8A'!$C$97</definedName>
    <definedName name="_57005ff2_950a_4141_afce_488efdb62d9e">'Impact Outcome Indicators_1A'!$Q$9</definedName>
    <definedName name="_57b614ed_470d_4f1e_935b_7580de269c26">'Cash Forecast_8A'!$C$36</definedName>
    <definedName name="_58564aa4_6b8c_428f_8b6c_cd83e30b71b2">'Impact Outcome Indicators_1A'!$T$18</definedName>
    <definedName name="_590305a4_354d_455f_9c19_99f92989675f">'PR-LFA Evaluation_5'!$B$75</definedName>
    <definedName name="_59538c0f_b999_4a1b_9e7b_fc8d5f2f2f55">'Coverage Indicators_1B'!$L$10</definedName>
    <definedName name="_59993101_1a93_478b_b911_20339e33c237">'Coverage Indicators_1B'!$K$10</definedName>
    <definedName name="_5a566617_e436_4ccf_8032_ee1684b298e0">'LFA_Findings&amp;Recommendations_6'!$C$10</definedName>
    <definedName name="_5c2ff31a_29af_4328_9104_e38397cdb12e">'Impact Outcome Indicators_1A'!$I$9</definedName>
    <definedName name="_5c334e0e_1e9e_4965_86b0_bbb76a123743">'Reference Records'!$D$97</definedName>
    <definedName name="_5c3516a7_3509_4aa7_8a95_f1e36fa9a6c8">'Cash Forecast_8A'!$I$97</definedName>
    <definedName name="_5cd269ef_7142_49d6_add4_368f9ad6b959">Disaggregation_1A!$D$9</definedName>
    <definedName name="_5cf5a7ab_2350_4736_a5a5_9cc20a252c37">'Coverage Indicators_1B'!$A$10</definedName>
    <definedName name="_5de049d7_9d7f_4453_b2a9_101960421044">'LFA Expenditure_7B'!$E$31</definedName>
    <definedName name="_5f39f37e_37ef_4645_ac33_01c550adf845">Disaggregation_1A!$A$7</definedName>
    <definedName name="_5f593289_c434_4e8d_aedf_fcff8dcf0a26">'Admin Sheet'!$B$37</definedName>
    <definedName name="_612a8454_daa2_47ac_83df_0d63ca099dec">'LFA_Findings&amp;Recommendations_6'!$E$10</definedName>
    <definedName name="_617c1394_a80f_40b3_a447_1517c8b3f8d1">'Grant Management_4'!$N$30</definedName>
    <definedName name="_61b7089d_7d22_4c6a_83f1_4ebdc760aa84">'LFA Expenditure_7B'!$J$38</definedName>
    <definedName name="_61d810cd_f475_4657_8672_67b134ead424">Disaggregation_1A!$E$9</definedName>
    <definedName name="_62536a1f_c77c_4128_9432_944e212f234b">'Cash Forecast_8A'!$E$36</definedName>
    <definedName name="_636539b4_860a_40a9_a004_a3d2b42cf4c1">'PR Expenditure_7A'!$D$32</definedName>
    <definedName name="_63d0d962_36e9_404a_b617_9eca72792350">'PR Expenditure_7A'!$C$23</definedName>
    <definedName name="_63de3c2d_d128_46c7_964c_bece57bac3e4">'PR Expenditure_7A'!$A$23</definedName>
    <definedName name="_641c4a96_d4d7_40e2_8001_e4a0f85a9ef1">Disaggregation_1B!$W$7</definedName>
    <definedName name="_6490776e_8a59_4f9c_92d0_73d81e582ea1">'LFA_Findings&amp;Recommendations_6'!$B$10</definedName>
    <definedName name="_6519bc76_1f53_4831_8bf7_f83ce72228d9">'Admin Sheet'!$B$55</definedName>
    <definedName name="_666989ec_79a0_4714_9945_3adcb1bef0aa" comment="Display Map">CashForecastADMIN!$A$19:$F$19</definedName>
    <definedName name="_67005cbe_e8cc_4369_99b0_8a6074c50da7" comment="Display Map">'LFA Expenditure_7B'!$C$23:$S$23</definedName>
    <definedName name="_675ab760_530f_4636_bdcf_cba3a2a390a7">'LFA Expenditure_7B'!$K$24</definedName>
    <definedName name="_678488b4_802c_4c72_9833_80839f2b9ed7">'SR_Cash Reconciliation_2E'!$G$9</definedName>
    <definedName name="_68b1346b_0b92_4c45_ba58_6a7d2169c54e">'Cash Forecast_8A'!$F$97</definedName>
    <definedName name="_69981a7a_2094_458c_b681_399a8ac603bc">'LFA Expenditure_7B'!$O$31</definedName>
    <definedName name="_699ade08_f386_4f9b_a8c4_96d80c4d208f">Disaggregation_1A!$K$7</definedName>
    <definedName name="_6a5e943e_e255_4488_8f24_ec0cb647c321">'PR Expenditure_7A'!$J$25</definedName>
    <definedName name="_6af25c57_be17_4a7d_a985_4c222f3c9c88">CashForecastADMIN!$C$6</definedName>
    <definedName name="_6b398e43_e08e_4385_96a1_120177eec057">'PR Expenditure_7A'!$O$32</definedName>
    <definedName name="_6b5004b6_2200_4372_84df_4c730adf8091">'PR Expenditure_7A'!$J$23</definedName>
    <definedName name="_6c57a552_06ab_4006_a031_02394826f1d4">'Cash Forecast_8A'!$H$90</definedName>
    <definedName name="_6d168ce9_a1d2_4699_adea_5ae5beaa103c">Disaggregation_1B!$J$7</definedName>
    <definedName name="_6d7106e7_da89_4674_b333_4882a2c9b2b1">'Budget Variance_2F'!$D$24</definedName>
    <definedName name="_6d9f3fdf_2744_4471_927e_45b666990c15">'Impact Outcome Indicators_1A'!$X$9</definedName>
    <definedName name="_6eb3b115_6a25_4c98_a69e_0ff4615eadfb">'PR Expenditure_7A'!$C$32</definedName>
    <definedName name="_6f97f01f_4bc3_4136_b63b_d6ae4c54bafa">'Grant Management_4'!$H$10</definedName>
    <definedName name="_6fa1f59d_055e_46ae_b56e_09c97c3c2fea">WPTM_1C!$T$7</definedName>
    <definedName name="_709114c1_2213_4fc4_b5c6_058cfbd327df">CoverSheet!$D$9</definedName>
    <definedName name="_70a4dfcc_263c_427c_8385_8e1ff001bfaa">'Impact Outcome Indicators_1A'!$L$18</definedName>
    <definedName name="_70cb3929_4b10_4040_9c22_c3754c9672f7">CashForecastADMIN!$C$5</definedName>
    <definedName name="_70f6aa21_d242_4b8d_990d_5abb59ff3285">'Grant Management_4'!$G$30</definedName>
    <definedName name="_72c449e3_f244_4e2e_8a6d_6c6cbfd98f45">Disaggregation_1B!$H$7</definedName>
    <definedName name="_73272afa_f4ea_4501_be5a_0ba20efa776f">'PR Expenditure_7A'!$B$39</definedName>
    <definedName name="_736e1e6c_0c52_4d1c_8f60_d7988557b754">'Impact Outcome Indicators_1A'!$U$9</definedName>
    <definedName name="_748d3a5d_9446_4c7e_9a25_6c77cbd45a47">'Impact Outcome Indicators_1A'!$R$18</definedName>
    <definedName name="_749a368e_b003_46f6_bce5_283c956630a1">'Cash Forecast_8A'!$L$90</definedName>
    <definedName name="_75512f83_8f24_4459_ad69_19ce2f62fb94">'PR-LFA Evaluation_5'!$B$74</definedName>
    <definedName name="_758a5839_c252_4db3_aede_66e9ffa48fa1">'Cash Forecast_8A'!$F$90</definedName>
    <definedName name="_75e4f523_fc4e_408b_bf34_2a3255e2c420">'LFA Expenditure_7B'!$E$22</definedName>
    <definedName name="_7698e521_b7e7_4967_8491_cdb70da1e187">'Cash Forecast_8A'!$F$29</definedName>
    <definedName name="_769ed643_4fd1_466e_b30b_7a7748b36016">'Reference Records'!$B$97</definedName>
    <definedName name="_76ae2b12_c624_4f16_85f3_4071c3059180">'Coverage Indicators_1B'!$O$10</definedName>
    <definedName name="_78148f48_50a8_428a_be72_0fc330c70c7f">'PR Expenditure_7A'!$I$32</definedName>
    <definedName name="_790ca257_b17b_4838_bbaa_36a9033dae98">'Impact Outcome Indicators_1A'!$D$8:$AG$16</definedName>
    <definedName name="_7929ede1_eecb_40d0_a808_6842339b9b86">'Impact Outcome Indicators_1A'!$X$18</definedName>
    <definedName name="_79607036_1c4b_46dc_98a2_0f5979da3fa8">'LFA Expenditure_7B'!$K$22</definedName>
    <definedName name="_7a8028f8_4b30_4728_b94d_884656fc0319">'Cash Forecast_8A'!$J$9</definedName>
    <definedName name="_7ad1e768_db76_49b8_a946_8d89cf7470de">Disaggregation_1A!$G$7</definedName>
    <definedName name="_7ae038b4_1c29_42ca_83fa_657d1f5d5870">'Cash Forecast_8A'!$H$87</definedName>
    <definedName name="_7b393259_6548_48dd_8839_62d2c4dfded4">'Cash Forecast_8A'!$J$67</definedName>
    <definedName name="_7b6be502_bf3e_408e_a2d2_798841dd96dc" comment="Display Map">'Cash Forecast_8A'!$A$66:$P$75</definedName>
    <definedName name="_7b89e4e6_0344_44eb_92e7_8bc3efa8a949">'Admin Sheet'!$B$51</definedName>
    <definedName name="_7c652366_7c7b_454d_9a77_d85b2ab0e7cc">Disaggregation_1B!$R$7</definedName>
    <definedName name="_7c7e16cc_6ce9_4025_b599_86aad417bb87">'Cash Forecast_8A'!$A$29</definedName>
    <definedName name="_7d5805b9_04de_45ec_ad2f_4a4de01c1a8a">'Budget Variance_2F'!$K$15</definedName>
    <definedName name="_7dbeb4e3_7cb9_4ecf_a0c8_036ad7d04344">'PR Expenditure_7A'!$B$32</definedName>
    <definedName name="_7dc1f2e5_6eb6_496d_ae61_7dd2537468fc">'PR Expenditure_7A'!$C$25</definedName>
    <definedName name="_7dcc54eb_edac_4b3d_824b_70d4d90e2ae4">'Admin Sheet'!$B$91</definedName>
    <definedName name="_80b2c634_703e_40c4_88fb_6d5b1ddd597f">'Impact Outcome Indicators_1A'!$M$9</definedName>
    <definedName name="_817f9e6c_ce9d_4260_aeaa_08df00e46b0c">'Cash Forecast_8A'!$R$36</definedName>
    <definedName name="_81a7db1f_c556_4d4f_8dd1_31b0935d6065">'LFA_Findings&amp;Recommendations_6'!#REF!</definedName>
    <definedName name="_81f030a8_0abe_44db_866b_fa9722f775f6">'LFA Expenditure_7B'!$A$60</definedName>
    <definedName name="_821ac24a_565b_42ef_8952_c8b86aeeb553">CoverSheet!$L$6</definedName>
    <definedName name="_828fcacc_c0ce_498a_854e_cff6be44a7e7">CashForecastADMIN!$C$14</definedName>
    <definedName name="_82daa8e0_d4cc_4fea_90e8_8c2ed1ce7fa6">CoverSheet!$I$25</definedName>
    <definedName name="_84023e98_8f2a_4bbc_b75d_d7ba0807f700">'Budget Variance_2F'!$J$29</definedName>
    <definedName name="_843905fe_c8ec_4f4f_b0ab_8695f5c2a0e3">Disaggregation_1B!$K$7</definedName>
    <definedName name="_85941f29_7d58_4bd7_be53_366d6a653d25">'Cash Forecast_8A'!$H$67</definedName>
    <definedName name="_85eeb1e8_72c1_4b49_82a8_09395964fb28">'PR Expenditure_7A'!$D$8</definedName>
    <definedName name="_86120cd2_c87e_442b_bc1c_570556855fad">'Cash Forecast_8A'!$I$90</definedName>
    <definedName name="_86338234_e740_41b9_8435_a748146e4c75">'Cash Forecast_8A'!$D$90</definedName>
    <definedName name="_86f75f42_c314_4da4_a58a_c92098769a3a">Disaggregation_1B!$L$7</definedName>
    <definedName name="_8767fd0c_a534_4edd_8c61_b63663bd2d64">CoverSheet!$D$12</definedName>
    <definedName name="_897815d1_a446_41b7_9de9_93fa23336a81">'Budget Variance_2F'!$E$29</definedName>
    <definedName name="_8c02e64b_da79_47a4_bfca_697124eaed5f">'Coverage Indicators_1B'!$P$10</definedName>
    <definedName name="_8c7e539e_f1c9_4602_9453_b5242ed3986a">'Cash Forecast_8A'!$F$36</definedName>
    <definedName name="_8d19df97_332b_4eb0_b244_dc33441e0ea5">'Cash Forecast_8A'!$A$9</definedName>
    <definedName name="_8d98b92c_14c3_4984_81c1_ee7af34df5e8">'Coverage Indicators_1B'!$W$10</definedName>
    <definedName name="_8e332663_c8f1_4e93_bd55_66589a27623a">CashForecastADMIN!$A$20</definedName>
    <definedName name="_8e75ea13_3e01_4498_975d_7da89c2b8d44">'Impact Outcome Indicators_1A'!$Y$9</definedName>
    <definedName name="_8f1e09bc_b5b2_4886_89cb_dbb0c418f286">Disaggregation_1A!$F$7</definedName>
    <definedName name="_8f2e63e1_9ca3_4deb_88e1_4210a017aecb">'Coverage Indicators_1B'!$D$10</definedName>
    <definedName name="_9009aeb2_3a8c_475d_a8d7_4476fd58d031">'Impact Outcome Indicators_1A'!$H$18</definedName>
    <definedName name="_905b37a9_75a9_4dc7_bbb7_5fe9d79b83ba">PRCashReconADMIN!$C$4</definedName>
    <definedName name="_91cd3777_db5e_4104_944b_efd6b99cf537">CashForecastADMIN!$F$14</definedName>
    <definedName name="_91d39eae_60d7_4baf_94ce_36f0e5bd8a25">'Grant Management_4'!$N$10</definedName>
    <definedName name="_92414b91_9955_428d_bf1e_078978840377">'Grant Management_4'!$B$9:$N$14</definedName>
    <definedName name="_92be6f34_d8e8_493f_b967_4d804c3f7f94">'Impact Outcome Indicators_1A'!$O$9</definedName>
    <definedName name="_9363a3c5_852b_485d_b237_7b0e753689bf">Disaggregation_1B!$P$7</definedName>
    <definedName name="_93c5a35d_24bf_47f9_a9dc_a82615cc2786">'Coverage Indicators_1B'!#REF!</definedName>
    <definedName name="_93d522ee_1954_4576_9f10_ef534c181632">Disaggregation_1B!$C$7</definedName>
    <definedName name="_9428f9f8_75e4_4e3c_8fb4_af8c020c93c4">'Cash Forecast_8A'!$B$36</definedName>
    <definedName name="_94f02acd_45a1_4d57_9c86_171c94224b6b">'LFA Expenditure_7B'!$K$31</definedName>
    <definedName name="_955abfbb_04b4_4f91_bc70_0638e717b29d">'SR_Cash Reconciliation_2E'!$L$9</definedName>
    <definedName name="_960c0f0f_3ed9_43e3_b364_f280a5374eb5">CashForecastADMIN!$B$3</definedName>
    <definedName name="_9614e773_c9e5_4a65_98fe_8330035c9b60">'SR_Cash Reconciliation_2E'!$B$9</definedName>
    <definedName name="_96c51cca_df85_4b74_ba46_cad1bf1d8ff7">'Impact Outcome Indicators_1A'!$E$9</definedName>
    <definedName name="_96e64bb3_a56a_457f_a669_ab515fdb35e2">WPTM_1C!$O$7</definedName>
    <definedName name="_9791e5d5_2a27_41de_b4ba_9353d2f28e84">'LFA Expenditure_7B'!$A$22</definedName>
    <definedName name="_97a54aac_5608_4a3c_82a2_8aa7d06eadfb">'Admin Sheet'!$A$5</definedName>
    <definedName name="_989c2827_c14c_41f9_a684_78dea225fefe">Disaggregation_1B!$Q$7</definedName>
    <definedName name="_98c17fc0_7b46_4570_a906_87733aff66d1">CashForecastADMIN!$B$20</definedName>
    <definedName name="_98cfcffe_1aff_4635_a40c_40b2bc2077cf">'PR Expenditure_7A'!$J$32</definedName>
    <definedName name="_98f0ce9e_27b8_452b_beed_a820634b68b6">'Cash Forecast_8A'!$P$67</definedName>
    <definedName name="_999ca3c3_e3bb_41b8_9cf1_e3fc9b914b24" comment="Display Map">'LFA Expenditure_7B'!$A$6:$P$20</definedName>
    <definedName name="_99a7e594_f9cd_40b7_8b51_07b7b2d24feb">'SR_Cash Reconciliation_2E'!$A$9</definedName>
    <definedName name="_9b3e0f2f_1d05_4460_8022_47cf311f932d">'Cash Forecast_8A'!$L$97</definedName>
    <definedName name="_9b87da26_3966_4d06_8d69_572350087570">'LFA_Findings&amp;Recommendations_6'!$H$10</definedName>
    <definedName name="_9c306ac7_2fa5_4c9e_968d_62f9c3592a55">CashForecastADMIN!$B$4</definedName>
    <definedName name="_9c5b7007_4f7c_4499_b8e2_5a3485dc7840">Disaggregation_1A!$C$7</definedName>
    <definedName name="_9d7d1ef8_2660_4434_ac14_3fee7d5f54c4">'Budget Variance_2F'!$D$30</definedName>
    <definedName name="_9e794b44_3863_4a9f_b89a_49b9635b561d">'LFA Expenditure_7B'!$B$31</definedName>
    <definedName name="_9f084c9d_f9b2_422a_bdc7_78e27b1a160f">'Coverage Indicators_1B'!$F$10</definedName>
    <definedName name="_9fe2e788_357f_47dd_b7d6_5c45c33dfa98">CashForecastADMIN!$C$20</definedName>
    <definedName name="_a0b622c9_98b2_4630_9ed3_15d234bf7cef">'Cash Forecast_8A'!$E$97</definedName>
    <definedName name="_a0e5c2bb_ab6b_45a7_9cfa_8d7b3be40060" comment="Display Map">'Reference Records'!$B$29:$K$93</definedName>
    <definedName name="_a0e6ac39_9c8f_4345_bde2_1b7066b4fc97">'Coverage Indicators_1B'!$AJ$10</definedName>
    <definedName name="_a152f39c_0299_474a_83bb_d664943edf00">Disaggregation_1A!$G$9</definedName>
    <definedName name="_a3a32659_6aa3_44f1_b745_140172150b4f">'Impact Outcome Indicators_1A'!$K$9</definedName>
    <definedName name="_a3c03fcc_8cdf_4603_b8f2_ddf9dc839170">'Coverage Indicators_1B'!$T$10</definedName>
    <definedName name="_a487d099_ebf5_4e80_a3ac_0320b5cc601e">'Cash Forecast_8A'!$C$67</definedName>
    <definedName name="_a4bcdea1_6c46_4e16_bf84_e701dcf2de7f">'PR Expenditure_7A'!$D$61</definedName>
    <definedName name="_a4e47151_1e06_4f46_9020_1dfb6efab6d5">'Impact Outcome Indicators_1A'!$J$9</definedName>
    <definedName name="_a50fa4bf_a65b_4051_ab46_bd13a09c13f1" comment="Display Map">CashForecastADMIN!$A$13:$F$15</definedName>
    <definedName name="_a53ab4d5_dde0_4363_b9ba_0b32c4bc44f8">'Grant Management_4'!$B$10</definedName>
    <definedName name="_a63a5afa_9c82_49af_bc8d_b9958c601886">'Cash Forecast_8A'!$D$87</definedName>
    <definedName name="_a7096e49_274f_4c7e_a441_aee265d13f2c">'Admin Sheet'!$B$5</definedName>
    <definedName name="_a8491438_4c6d_4ec1_8b27_5f76cd531b3b">'Coverage Indicators_1B'!$V$10</definedName>
    <definedName name="_a8f5594e_eb9b_4e9f_a7c7_5edbcbdca844">'Impact Outcome Indicators_1A'!$G$18</definedName>
    <definedName name="_a9ccc8f1_8724_4060_96e9_a502de45e80f">CoverSheet!$D$7</definedName>
    <definedName name="_aa0326f5_9d2c_4ee6_960a_7993513a04d7">'Cash Forecast_8A'!$D$9</definedName>
    <definedName name="_aa5ead3e_557d_4910_a49c_ae684c1815ac" comment="Display Map">'Cash Forecast_8A'!$A$8:$Q$22</definedName>
    <definedName name="_aabb928f_a3e7_4ff6_8913_314ead19223b">Procurement_3!$N$74</definedName>
    <definedName name="_aacf09a1_19e2_4d83_8bc5_b600e9d2e175">'PR Expenditure_7A'!$A$39</definedName>
    <definedName name="_ab9e4a0a_8343_4ca2_991d_3feab59553b9">'LFA Expenditure_7B'!$A$31</definedName>
    <definedName name="_abff7f96_628b_4f2d_b93c_92e3608da5bf">'Cash Forecast_8A'!$H$97</definedName>
    <definedName name="_ac9005bd_9205_4261_9cb0_d99c2c1f84d3">'Budget Variance_2F'!$K$14</definedName>
    <definedName name="_ad31191b_1bcc_4426_8a4a_22beb2bacf3e">'Cash Forecast_8A'!$E$90</definedName>
    <definedName name="_ad76e3d7_6daf_4510_9a14_9a543749c1a1">'LFA_Findings&amp;Recommendations_6'!#REF!</definedName>
    <definedName name="_ae6e512b_3d95_422b_a798_3e57d4839693">Disaggregation_1A!$L$7</definedName>
    <definedName name="_aead412b_8254_41c2_8088_9961653408c7">'Impact Outcome Indicators_1A'!$R$9</definedName>
    <definedName name="_aeee331d_30f2_43a3_bc5e_667269ffa690">WPTM_1C!$E$7</definedName>
    <definedName name="_aef8f1fd_5698_4092_9f72_25edc8264d8f">CashForecastADMIN!$B$8</definedName>
    <definedName name="_afc232cf_c169_4be7_b0a3_1e865da48842">PRCashReconADMIN!$E$4</definedName>
    <definedName name="_AtRisk_SimSetting_AutomaticallyGenerateReports" hidden="1">FALSE</definedName>
    <definedName name="_AtRisk_SimSetting_AutomaticResultsDisplayMode" hidden="1">2</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500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1791</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1</definedName>
    <definedName name="_AtRisk_SimSetting_StdRecalcWithoutRiskStatic" hidden="1">0</definedName>
    <definedName name="_AtRisk_SimSetting_StdRecalcWithoutRiskStaticPercentile" hidden="1">0.5</definedName>
    <definedName name="_b125e86e_9d66_4365_850e_c6fcb87c9db9" comment="Display Map">'LFA Expenditure_7B'!$A$37:$Q$53</definedName>
    <definedName name="_b186ff72_d27c_4574_9db4_ca7e741ae8fd">WPTM_1C!$G$7</definedName>
    <definedName name="_b1bd3437_f548_46c9_a743_a7c0ae1110ea">'Impact Outcome Indicators_1A'!$D$17:$AG$25</definedName>
    <definedName name="_b1e78b22_ad2a_40fe_8a4b_20590db644a8">'Grant Management_4'!$D$10</definedName>
    <definedName name="_b2430fc4_c651_4ab6_8cfc_33f42945100b">'Budget Variance_2F'!$J$25</definedName>
    <definedName name="_b2b126a7_37a8_4970_b2b4_da841f576d0b">Procurement_3!$N$76</definedName>
    <definedName name="_b3402e96_ad7f_4f9e_abba_7219e3e7f169">'SR_Cash Reconciliation_2E'!$T$9</definedName>
    <definedName name="_b3c06770_56af_48f0_b86d_700901b7ef8e">CoverSheet!$I$23</definedName>
    <definedName name="_b42cef75_de51_4350_b638_2f07adb11308">'Reference Records'!$B$30</definedName>
    <definedName name="_b44e8b63_af98_411f_94c0_2ef69a3cbf9c">CashForecastADMIN!$C$7</definedName>
    <definedName name="_b4666379_0acb_4d72_8cb2_d396f19f20fb">'PR Expenditure_7A'!$B$61</definedName>
    <definedName name="_b469d84c_52e5_4a92_80e2_49eaccc7c9d8">'Cash Forecast_8A'!$H$36</definedName>
    <definedName name="_b4a2f630_f255_4664_8c2b_7947332e436a">'LFA Expenditure_7B'!$K$7</definedName>
    <definedName name="_b59cdd47_5a03_418a_a423_467413d9ca30">'Cash Forecast_8A'!$K$9</definedName>
    <definedName name="_b6114804_a017_46d0_9f40_23ddfb7f05e2">'Admin Sheet'!$B$1</definedName>
    <definedName name="_b6b54932_bbc2_49d5_aaf8_e808d8b9cd49">Disaggregation_1B!$O$7</definedName>
    <definedName name="_b76185d1_9a98_4f6b_85a8_601864a44afc">Procurement_3!$N$73</definedName>
    <definedName name="_b7aa4414_545a_47a0_9ab1_97f12b5643c8">CoverSheet!$D$26</definedName>
    <definedName name="_b82ba3a9_c40d_4b22_8394_822d445f79b0">WPTM_1C!$L$7</definedName>
    <definedName name="_ba289966_f8e1_4c44_9e87_499ccb8fdf22">'SR_Cash Reconciliation_2E'!$C$9</definedName>
    <definedName name="_ba5ae70c_90ea_458f_8bfb_fb96038936c1">Disaggregation_1B!$N$7</definedName>
    <definedName name="_bb2b664c_d994_4da7_9913_b0f0638e6f07">'Grant Management_4'!$E$10</definedName>
    <definedName name="_bb78ca4d_3bdb_4902_91ad_351d3aaf25d7">'LFA Expenditure_7B'!$E$60</definedName>
    <definedName name="_bbb2a3c7_fcc5_4f75_9548_acbad2960a5c">'LFA_Findings&amp;Recommendations_6'!#REF!</definedName>
    <definedName name="_bcdb1279_07d1_4285_97f0_798754ffbfa3" comment="Display Map">'PR Expenditure_7A'!$A$7:$P$21</definedName>
    <definedName name="_bd0083e1_f86a_4f04_9e49_0e115045f089">WPTM_1C!$C$7</definedName>
    <definedName name="_bf8c45d7_5526_406e_acc6_43ad293f5dc3">'Impact Outcome Indicators_1A'!$F$18</definedName>
    <definedName name="_bfca0c3b_63d2_403b_8c24_9e68e1b816f3">'LFA Expenditure_7B'!$C$22</definedName>
    <definedName name="_c0012965_1bb8_4721_88e9_cf24fe38dc4b">CoverSheet!$D$11</definedName>
    <definedName name="_c02cc35b_42a3_48a4_8353_37680357616a">'Grant Management_4'!$E$30</definedName>
    <definedName name="_c09a840c_dd8d_4c5b_8af2_cf513d16b38b">'PR Expenditure_7A'!$J$8</definedName>
    <definedName name="_c0e49844_e8e9_46b7_8dd6_d1ce51cd99dc">'Impact Outcome Indicators_1A'!$D$18</definedName>
    <definedName name="_c12be6ab_2ea0_4379_96d1_4ce4d00f81c5">'Admin Sheet'!$C$5</definedName>
    <definedName name="_c16326e7_890b_4dc5_a434_82c1232a5011">'PR Expenditure_7A'!$J$39</definedName>
    <definedName name="_c17a838e_326f_48c5_aefb_9da20f8fb171">Disaggregation_1A!$J$9</definedName>
    <definedName name="_c2b697b8_3018_463b_b36a_25a1ed68b353" comment="Display Map">'Reference Records'!$B$11:$K$24</definedName>
    <definedName name="_c2c7d249_8392_4a87_b980_0f7dc06d0315">'Cash Forecast_8A'!$H$9</definedName>
    <definedName name="_c2e81fb1_9280_44b9_a71b_89150648439b">CashForecastADMIN!$A$14</definedName>
    <definedName name="_c33dda3f_cea6_4dab_9d53_2eaafd157ffd">CoverSheet!$D$6</definedName>
    <definedName name="_c374b739_a6e3_48f1_9566_cd3f880774d2">'Impact Outcome Indicators_1A'!$V$9</definedName>
    <definedName name="_c3bd0cf9_281c_40da_94a3_1d32582a58f0">'Cash Forecast_8A'!$P$29</definedName>
    <definedName name="_c49e9f3d_7c20_4b0f_bdf1_63ce7fca48c7">'PR Expenditure_7A'!$P$8</definedName>
    <definedName name="_c4c2e611_e730_424f_8c55_c695aa4e2efc">Disaggregation_1A!$I$9</definedName>
    <definedName name="_c52c03a8_957d_4edc_b38e_fe8ab92e8528">'Reference Records'!$C$97</definedName>
    <definedName name="_c5a0b4ef_fe00_4861_a8ed_bb6df4e2f705" comment="Display Map">'Cash Forecast_8A'!$B$86:$L$88</definedName>
    <definedName name="_c5c1f3c5_5a49_4c11_a771_a5f1d4118da5">'PR Expenditure_7A'!$C$39</definedName>
    <definedName name="_c5fd0628_2313_4844_af68_24412f7cf2ec">'Budget Variance_2F'!$K$29</definedName>
    <definedName name="_c644c6fc_187d_410c_abff_0bd5233a8adc">'Impact Outcome Indicators_1A'!$AG$9</definedName>
    <definedName name="_c680f865_62ed_4a30_a3bb_65c5409134be">'Grant Management_4'!$H$30</definedName>
    <definedName name="_c7551a23_eb91_4b92_9af0_4e85592dd5bc">PRCashReconADMIN!$B$4</definedName>
    <definedName name="_c787154a_bcf4_4ffb_8f18_8626129c6542">'Budget Variance_2F'!$J$10</definedName>
    <definedName name="_c8a2fc92_1f23_452f_974e_b4c265d31398">'PR-LFA Evaluation_5'!$B$76</definedName>
    <definedName name="_c8ccf522_4366_402c_a664_dfc6a62c4789">'Budget Variance_2F'!$D$9</definedName>
    <definedName name="_c910d59c_d65b_4734_a446_34d376d19362">'Coverage Indicators_1B'!$C$10</definedName>
    <definedName name="_c9f5d224_bd1a_4fab_9418_475f26f8f021">'Cash Forecast_8A'!$C$90</definedName>
    <definedName name="_ca34193e_b3e6_4206_a41e_c8c0fc031558">'LFA Expenditure_7B'!$A$30:$O$36</definedName>
    <definedName name="_cab8fd3f_d979_4288_8f5b_e1f5abd1a54d">'Impact Outcome Indicators_1A'!$U$18</definedName>
    <definedName name="_cb7a19fc_1521_4a26_8da3_ece688a554e5" comment="Display Map">'PR Expenditure_7A'!$C$24:$S$24</definedName>
    <definedName name="_cbe0c0f8_d83c_4ce2_9bc7_b033aea9febb">'Cash Forecast_8A'!$B$97</definedName>
    <definedName name="_cc8b74af_27ca_4459_b6a4_3b6da646273f">Disaggregation_1A!$C$9</definedName>
    <definedName name="_cc94d5e0_095e_4b91_8e8f_72c95a0fe8a8">'Cash Forecast_8A'!$C$9</definedName>
    <definedName name="_cd2221fa_067a_4cd3_a398_6637140a5d9d">'LFA Expenditure_7B'!$O$7</definedName>
    <definedName name="_cd427965_e323_429d_afb8_aafa5cda351c">Disaggregation_1B!#REF!</definedName>
    <definedName name="_cd441392_f5ef_408f_b075_cc614f229c7d" comment="Save Map">'SR_Cash Reconciliation_2E'!$A$8:$U$109</definedName>
    <definedName name="_cd7b0ad9_e083_4350_9e50_25d037cfcd92">'Admin Sheet'!$B$44</definedName>
    <definedName name="_cf675f06_4970_47da_aa96_00ac87d6b9f7">'Impact Outcome Indicators_1A'!$Q$18</definedName>
    <definedName name="_cf7e5a4a_7a81_4f53_8acd_1e08bb06f384">'PR Expenditure_7A'!$O$25</definedName>
    <definedName name="_cf863922_f2f3_4b1f_bfb7_030b876e6879" comment="Display Map">'Reference Records'!$B$96:$G$173</definedName>
    <definedName name="_d09d69e0_6d5c_4718_b05b_3d1ea01d83ae">PRCashReconADMIN!$G$4</definedName>
    <definedName name="_d0decdca_4da7_4fd7_86f3_75ec17c29021">'Coverage Indicators_1B'!$H$10</definedName>
    <definedName name="_d12c0697_d96a_4c32_b86a_d840fdef3152">'Budget Variance_2F'!$J$14</definedName>
    <definedName name="_d28ae8c7_abc9_403d_acff_ffeb46d36899">'Cash Forecast_8A'!$K$67</definedName>
    <definedName name="_d2c412b5_e4e7_463b_901a_e8dbe0cec1a0">CashForecastADMIN!$B$5</definedName>
    <definedName name="_d33476ff_0cf1_4ba5_b99c_0d8a7960f349">'Budget Variance_2F'!$D$29</definedName>
    <definedName name="_d5095cc9_6836_45ad_bb4d_ce18a01f0d5e">'Admin Sheet'!$B$52</definedName>
    <definedName name="_d67820e9_5f56_46a6_a69a_c7147c0ff654">'Budget Variance_2F'!$K$30</definedName>
    <definedName name="_d6f12d73_3320_47a5_869c_2e298dd5ecdc">'LFA Expenditure_7B'!$A$38</definedName>
    <definedName name="_d7a433d0_8e0d_4af6_82eb_27275edd6418">'PR-LFA Evaluation_5'!$B$73</definedName>
    <definedName name="_d87dead1_55cd_4083_8471_a277a97bcdc1">CashForecastADMIN!$F$20</definedName>
    <definedName name="_d9af3e01_f905_4ca5_a911_0d8bc32fe491">'PR Expenditure_7A'!$P$23</definedName>
    <definedName name="_db07c652_41f2_4da1_a2a0_dd858261767c">'PR Expenditure_7A'!$A$32</definedName>
    <definedName name="_dbc2c0d8_ab82_4868_b277_e9b1acd9fc22">'LFA Expenditure_7B'!$K$60</definedName>
    <definedName name="_dbf20ee0_5f2c_44c2_afab_54cc7a7ae1d3">Disaggregation_1A!$A$9</definedName>
    <definedName name="_dc3802bd_0bcc_48e8_a56e_7e001b60fb1f">'LFA Expenditure_7B'!$E$38</definedName>
    <definedName name="_dca21445_e3d5_45ff_8329_04ded9c92a4b" comment="Display Map">'Cash Forecast_8A'!$A$35:$R$61</definedName>
    <definedName name="_dec07dcc_68bb_469c_b6be_7a80b61914fa">Disaggregation_1B!$T$7</definedName>
    <definedName name="_decf8602_3e8a_4efc_a645_28cb6031b3f3">'LFA Expenditure_7B'!$A$7</definedName>
    <definedName name="_df563686_de97_481c_91a5_78e1a29a5b49">'Cash Forecast_8A'!$I$87</definedName>
    <definedName name="_e03b2f22_4001_4501_a7d0_772383f2b72c">'Budget Variance_2F'!$D$10</definedName>
    <definedName name="_e0a760bf_2233_4bad_a3e7_062b2675cb32" comment="Display Map">'Cash Forecast_8A'!$B$96:$L$100</definedName>
    <definedName name="_e0d9307a_84d9_4e0a_9c20_075beac2a139">Disaggregation_1A!$L$9</definedName>
    <definedName name="_e1c93540_776b_480a_962b_51995b1d5eb4">'Coverage Indicators_1B'!$G$10</definedName>
    <definedName name="_e1cb609f_9ec8_423d_8cb8_d31f085d4cc6">'Reference Records'!$B$12</definedName>
    <definedName name="_e1efe092_89f5_47d1_a527_10833d17aa03">'LFA Expenditure_7B'!$C$60</definedName>
    <definedName name="_e37d662f_a375_40cf_8b01_58ac76092579">'PR Expenditure_7A'!$A$31:$O$37</definedName>
    <definedName name="_e3831145_f31a_4300_8ca4_d98e9c642781">'LFA Expenditure_7B'!$J$22</definedName>
    <definedName name="_e4ead8b7_e992_4757_9755_d6bcdaff8860">'Impact Outcome Indicators_1A'!$J$18</definedName>
    <definedName name="_e5421638_a6b5_438d_94fc_652485dab62d">'Admin Sheet'!$B$2</definedName>
    <definedName name="_e55c55ea_7bf4_4b0c_bee1_971627d94916">CoverSheet!$I$26</definedName>
    <definedName name="_e57f8791_77dd_4dd6_bffb_f438ed140b57">CoverSheet!$D$5</definedName>
    <definedName name="_e5dede5d_1b8b_4631_a00e_4033e58d5539">'PR Expenditure_7A'!$I$8</definedName>
    <definedName name="_e627e6e9_51c3_49b6_bde7_4be4a845656f">'Impact Outcome Indicators_1A'!$I$18</definedName>
    <definedName name="_e6be31ca_aade_422c_8414_ad7528dd2181">'Impact Outcome Indicators_1A'!$N$9</definedName>
    <definedName name="_e7acf3a1_32c0_4352_b059_9ce4059d552b">'Cash Forecast_8A'!$E$87</definedName>
    <definedName name="_e831f4d4_15cb_405c_b63a_03eeb71b7c8b">'Admin Sheet'!$D$5</definedName>
    <definedName name="_e896b249_4600_4a32_8d14_52dedf1c7052">'LFA Expenditure_7B'!$O$60</definedName>
    <definedName name="_ea3792b9_7f77_48b9_ab7d_7df856689769">'LFA Expenditure_7B'!$A$59:$O$68</definedName>
    <definedName name="_ea4b76b5_ac83_4728_8487_c82060bfdd1c">'LFA_Findings&amp;Recommendations_6'!$F$10</definedName>
    <definedName name="_ea657bbf_b925_4d2b_ad55_df3fbf460274">'LFA Expenditure_7B'!$K$38</definedName>
    <definedName name="_ea758705_9d8a_4de1_8f9d_57718ffded68">Disaggregation_1A!$H$7</definedName>
    <definedName name="_eaa41347_ca8c_4d22_825e_1f54d6969a99">WPTM_1C!$M$7</definedName>
    <definedName name="_eccb8966_8b0e_43c3_ac15_fb989c1b17cc">'PR Expenditure_7A'!$A$60:$O$69</definedName>
    <definedName name="_ee3953a0_0762_4f4b_9414_c2e68ae1e508">'SR_Cash Reconciliation_2E'!$E$9</definedName>
    <definedName name="_ef7b0cd0_df14_41c4_8987_1bd54c07b400">Disaggregation_1B!$I$7</definedName>
    <definedName name="_f046dd6b_b221_4448_a441_9fbab923981b">Disaggregation_1A!$J$7</definedName>
    <definedName name="_f15caf03_cafb_4b4d_93fd_fccacb6ce43c">Disaggregation_1B!#REF!</definedName>
    <definedName name="_f19d3db5_6803_4c52_a7f3_f12bb423520f">'Cash Forecast_8A'!$N$9</definedName>
    <definedName name="_f1b2c2b2_5034_4fb9_8c0d_1dd46458948d">'Impact Outcome Indicators_1A'!$D$9</definedName>
    <definedName name="_f294efd2_f9ec_434f_ba05_11b96801a2f6">'LFA Expenditure_7B'!$P$7</definedName>
    <definedName name="_f3121d9e_1ff6_4055_831d_a6c005ae7be8">Disaggregation_1B!$A$7</definedName>
    <definedName name="_f41cfc95_8dd6_409d_95ae_e4643b781662">'LFA Expenditure_7B'!$O$24</definedName>
    <definedName name="_f49e361d_0ff0_4276_985a_acd52db231bd">'LFA Expenditure_7B'!$E$24</definedName>
    <definedName name="_f57307f2_e947_4578_a151_2a24e2f91d68">'Cash Forecast_8A'!$D$67</definedName>
    <definedName name="_f57a8230_8610_4d8b_9216_9ca95c567302">'PR Expenditure_7A'!$D$39</definedName>
    <definedName name="_f752cab7_c767_4cdd_b7e6_2ae82cd100c8">'Impact Outcome Indicators_1A'!$S$18</definedName>
    <definedName name="_f772748a_d651_42c2_a5ac_fb9059fad47f">'SR_Cash Reconciliation_2E'!$F$9</definedName>
    <definedName name="_f7772449_e71e_45a0_946f_3bbdb0779516">'Reference Records'!$B$6</definedName>
    <definedName name="_f77f33f2_e290_4e7b_ba4e_db8392ec2976">WPTM_1C!$F$7</definedName>
    <definedName name="_f7e17039_2166_4d2d_9342_c6aa02461662">'PR Expenditure_7A'!$I$23</definedName>
    <definedName name="_f7e1854d_7269_4cb6_a133_fe1a7c81f891">'Cash Forecast_8A'!$D$29</definedName>
    <definedName name="_f85c19e7_350e_45c4_8500_6a24417e8f8f">'Cash Forecast_8A'!$F$87</definedName>
    <definedName name="_f8df3b89_cad3_483f_b0d8_771b6cb277fa">'Impact Outcome Indicators_1A'!$T$9</definedName>
    <definedName name="_f9087935_d4f9_4e9d_a597_8a84999668d4">'Coverage Indicators_1B'!$Y$10</definedName>
    <definedName name="_fa319343_7ec9_4ddd_b576_c3984e87967d">'Impact Outcome Indicators_1A'!$G$9</definedName>
    <definedName name="_fa526e39_564b_4569_b4fd_db1bac068866">Disaggregation_1B!$G$7</definedName>
    <definedName name="_fb234f58_3c7d_4b54_a3f3_f6a012864e61">Disaggregation_1B!$F$7</definedName>
    <definedName name="_fb355c7f_9415_4b1f_ba3e_3c63aa6ca91d">Disaggregation_1A!$K$9</definedName>
    <definedName name="_fb691d96_11a4_4b60_af9b_f044e0536104">'PR Expenditure_7A'!$I$39</definedName>
    <definedName name="_fdebf3c0_91c2_4d39_bfdd_5fd9c5709d53">WPTM_1C!$A$7</definedName>
    <definedName name="_fe298dd5_3965_40b3_b7a7_67f87680a6a4">Disaggregation_1A!$Q$7</definedName>
    <definedName name="_fe88ddaa_0ce8_4771_a7cd_8d9fb692d556">PRCashReconADMIN!$D$4</definedName>
    <definedName name="_fee4b8f2_7f91_4a7d_848b_c517cadfc4ec">'Cash Forecast_8A'!$B$90</definedName>
    <definedName name="_fefe4dfc_68c7_4b1b_bb8b_a7e06305fa21">'Impact Outcome Indicators_1A'!$V$18</definedName>
    <definedName name="_xlnm._FilterDatabase" localSheetId="19" hidden="1">'Cash Forecast_8A'!$A$35:$R$61</definedName>
    <definedName name="_xlnm._FilterDatabase" localSheetId="4" hidden="1">'Coverage Indicators_1B'!$A$8:$AJ$17</definedName>
    <definedName name="_xlnm._FilterDatabase" localSheetId="3" hidden="1">Disaggregation_1A!$A$8:$Q$11</definedName>
    <definedName name="_xlnm._FilterDatabase" localSheetId="5" hidden="1">Disaggregation_1B!$A$5:$W$24</definedName>
    <definedName name="_xlnm._FilterDatabase" localSheetId="24" hidden="1">'Financial Triggers_10'!$A$5:$F$15</definedName>
    <definedName name="_xlnm._FilterDatabase" localSheetId="12" hidden="1">'Grant Management_4'!$B$9:$N$14</definedName>
    <definedName name="_xlnm._FilterDatabase" localSheetId="2" hidden="1">'Impact Outcome Indicators_1A'!$A$17:$AG$25</definedName>
    <definedName name="_xlnm._FilterDatabase" localSheetId="17" hidden="1">'LFA Expenditure_7B'!$A$37:$Q$53</definedName>
    <definedName name="_xlnm._FilterDatabase" localSheetId="14" hidden="1">'LFA_Findings&amp;Recommendations_6'!$A$9:$H$40</definedName>
    <definedName name="_xlnm._FilterDatabase" localSheetId="15" hidden="1">'PR Expenditure_7A'!$A$38:$Q$54</definedName>
    <definedName name="_xlnm._FilterDatabase" localSheetId="9" hidden="1">'SR_Cash Reconciliation_2E'!$A$8:$U$109</definedName>
    <definedName name="_xlnm._FilterDatabase" localSheetId="6" hidden="1">WPTM_1C!$A$6:$S$6</definedName>
    <definedName name="_Key1" localSheetId="0" hidden="1">#REF!</definedName>
    <definedName name="_Key1" hidden="1">#REF!</definedName>
    <definedName name="_Key1_2" localSheetId="0" hidden="1">#REF!</definedName>
    <definedName name="_Key1_2" hidden="1">#REF!</definedName>
    <definedName name="_Order1" hidden="1">255</definedName>
    <definedName name="_Sort" localSheetId="0" hidden="1">#REF!</definedName>
    <definedName name="_Sort" hidden="1">#REF!</definedName>
    <definedName name="_Sort2" localSheetId="0" hidden="1">#REF!</definedName>
    <definedName name="_Sort2" hidden="1">#REF!</definedName>
    <definedName name="_UNDO31X31X_" hidden="1">'[1]Board approved (delta)'!$G:$G,'[1]Board approved (delta)'!$J:$J,'[1]Board approved (delta)'!$M:$M</definedName>
    <definedName name="A">#REF!</definedName>
    <definedName name="Active_case_detection_and_investigation__elimination_phase">#REF!</definedName>
    <definedName name="adminfee">'[2]Range Page'!$A$38</definedName>
    <definedName name="Afghanistan">#REF!</definedName>
    <definedName name="Age" localSheetId="0">#REF!</definedName>
    <definedName name="Age" localSheetId="17">#REF!</definedName>
    <definedName name="Age" localSheetId="22">#REF!</definedName>
    <definedName name="Age">#REF!</definedName>
    <definedName name="AIM_Budget_Variance__c.AIM_Description__c">apttusmetadata!$AI$2:$AI$5</definedName>
    <definedName name="AIM_Coverage_Disaggregation__c.AIM_Year__c">apttusmetadata!$CF$2:$CF$25</definedName>
    <definedName name="AIM_Coverage_Disaggregation_Result__c.AIM_LFA_Source__c">apttusmetadata!$CH$2:$CH$32</definedName>
    <definedName name="AIM_Coverage_Disaggregation_Result__c.AIM_Source_PR__c">apttusmetadata!$CG$2:$CG$32</definedName>
    <definedName name="AIM_Coverage_Indicator__c.AIM_Cumulation_Type__c">apttusmetadata!$BZ$2:$BZ$4</definedName>
    <definedName name="AIM_Coverage_Indicator__c.AIM_Geographic_Coverage__c">apttusmetadata!$BY$2:$BY$3</definedName>
    <definedName name="AIM_Coverage_Indicator__c.AIM_Year__c">apttusmetadata!$CA$2:$CA$25</definedName>
    <definedName name="AIM_Coverage_Indicator_Targets_Results__c.AIM_Data_Source_Result_LFA__c">apttusmetadata!$CC$2:$CC$32</definedName>
    <definedName name="AIM_Coverage_Indicator_Targets_Results__c.AIM_Data_Source_Result_PR__c">apttusmetadata!$CD$2:$CD$32</definedName>
    <definedName name="AIM_Coverage_Indicator_Targets_Results__c.AIM_Due_for_Reporting__c">apttusmetadata!$CE$2:$CE$4</definedName>
    <definedName name="AIM_Coverage_Indicator_Targets_Results__c.AIM_Verification_Method_LFA__c">apttusmetadata!$CB$2:$CB$4</definedName>
    <definedName name="AIM_Grant_Requirement__c.AIM_Functional_Areas__c">apttusmetadata!$AK$2:$AK$6</definedName>
    <definedName name="AIM_Grant_Requirement__c.AIM_Status_LFA__c">apttusmetadata!$AQ$2:$AQ$5</definedName>
    <definedName name="AIM_Grant_Requirement__c.AIM_Status_PR__c">apttusmetadata!$AW$2:$AW$5</definedName>
    <definedName name="AIM_Grant_Requirement__c.Annual_Grant_Reporting__Requirements.AIM_Functional_Areas__c">apttusmetadata!$AL$2:$AL$6</definedName>
    <definedName name="AIM_Grant_Requirement__c.Annual_Grant_Reporting__Requirements.AIM_Status_LFA__c">apttusmetadata!$AR$2:$AR$5</definedName>
    <definedName name="AIM_Grant_Requirement__c.Annual_Grant_Reporting__Requirements.AIM_Status_PR__c">apttusmetadata!$AX$2:$AX$5</definedName>
    <definedName name="AIM_Grant_Requirement__c.Findings_and_Recomendations.AIM_Functional_Areas__c">apttusmetadata!$AM$2:$AM$6</definedName>
    <definedName name="AIM_Grant_Requirement__c.Findings_and_Recomendations.AIM_Status_LFA__c">apttusmetadata!$AS$2:$AS$5</definedName>
    <definedName name="AIM_Grant_Requirement__c.Findings_and_Recomendations.AIM_Status_PR__c">apttusmetadata!$AY$2:$AY$5</definedName>
    <definedName name="AIM_Grant_Requirement__c.Grant_Requirements.AIM_Functional_Areas__c">apttusmetadata!$AN$2:$AN$6</definedName>
    <definedName name="AIM_Grant_Requirement__c.Grant_Requirements.AIM_Status_LFA__c">apttusmetadata!$AT$2:$AT$5</definedName>
    <definedName name="AIM_Grant_Requirement__c.Grant_Requirements.AIM_Status_PR__c">apttusmetadata!$AZ$2:$AZ$5</definedName>
    <definedName name="AIM_Grant_Requirement__c.Management_Actions.AIM_Functional_Areas__c">apttusmetadata!$AO$2:$AO$6</definedName>
    <definedName name="AIM_Grant_Requirement__c.Management_Actions.AIM_Status_LFA__c">apttusmetadata!$AU$2:$AU$5</definedName>
    <definedName name="AIM_Grant_Requirement__c.Management_Actions.AIM_Status_PR__c">apttusmetadata!$BA$2:$BA$5</definedName>
    <definedName name="AIM_Grant_Requirement__c.Master.AIM_Functional_Areas__c">apttusmetadata!$AP$2:$AP$6</definedName>
    <definedName name="AIM_Grant_Requirement__c.Master.AIM_Status_LFA__c">apttusmetadata!$AV$2:$AV$5</definedName>
    <definedName name="AIM_Grant_Requirement__c.Master.AIM_Status_PR__c">apttusmetadata!$BB$2:$BB$5</definedName>
    <definedName name="AIM_Impact_Disagaggregation_Results__c.AIM_Result_Source_PR__c">apttusmetadata!$BL$2:$BL$32</definedName>
    <definedName name="AIM_Impact_Disagaggregation_Results__c.AIM_Verified_Result_Source_LFA__c">apttusmetadata!$BM$2:$BM$32</definedName>
    <definedName name="AIM_Impact_Disaggregation__c.AIM_Baseline_Year__c">apttusmetadata!$BK$2:$BK$25</definedName>
    <definedName name="AIM_Impact_Indicator__c.AIM_Baseline_Year__c">apttusmetadata!$BC$2:$BC$25</definedName>
    <definedName name="AIM_Impact_Indicator_Targets_Results__c.AIM_Data_Source_Result_LFA__c">apttusmetadata!$BH$2:$BH$32</definedName>
    <definedName name="AIM_Impact_Indicator_Targets_Results__c.AIM_Data_Source_Result_PR__c">apttusmetadata!$BI$2:$BI$32</definedName>
    <definedName name="AIM_Impact_Indicator_Targets_Results__c.AIM_Due_for_Reporting__c">apttusmetadata!$BJ$2:$BJ$4</definedName>
    <definedName name="AIM_Impact_Indicator_Targets_Results__c.AIM_Verification_Method_LFA__c">apttusmetadata!$BD$2:$BD$4</definedName>
    <definedName name="AIM_Impact_Indicator_Targets_Results__c.AIM_Year_of_Result_LFA__c">apttusmetadata!$BF$2:$BF$25</definedName>
    <definedName name="AIM_Impact_Indicator_Targets_Results__c.AIM_Year_of_Result_PR__c">apttusmetadata!$BG$2:$BG$25</definedName>
    <definedName name="AIM_Impact_Indicator_Targets_Results__c.AIM_Year_of_Target__c">apttusmetadata!$BE$2:$BE$25</definedName>
    <definedName name="AIM_Implementation_Period__c.AIM_Grant_Currency__c">apttusmetadata!$AA$2:$AA$158</definedName>
    <definedName name="AIM_Opt_Ins__c.AIM_Tab_Name__c">apttusmetadata!$CK$2:$CK$24</definedName>
    <definedName name="AIM_Opt_Ins__c.AIM_Type__c">apttusmetadata!$CL$2:$CL$4</definedName>
    <definedName name="AIM_Outcome_Disaggregation__c.AIM_Baseline_Year__c">apttusmetadata!$BV$2:$BV$25</definedName>
    <definedName name="AIM_Outcome_Disaggregation_Results__c.AIM_Result_Source_PR__c">apttusmetadata!$BW$2:$BW$32</definedName>
    <definedName name="AIM_Outcome_Disaggregation_Results__c.AIM_Verified_Result_Source_LFA__c">apttusmetadata!$BX$2:$BX$32</definedName>
    <definedName name="AIM_Outcome_Indicator__c.AIM_Baseline_Year__c">apttusmetadata!$BN$2:$BN$25</definedName>
    <definedName name="AIM_Outcome_Indicator_Targets_Result__c.AIM_Data_Source_Result_LFA__c">apttusmetadata!$BS$2:$BS$32</definedName>
    <definedName name="AIM_Outcome_Indicator_Targets_Result__c.AIM_Data_Source_Result_PR__c">apttusmetadata!$BT$2:$BT$32</definedName>
    <definedName name="AIM_Outcome_Indicator_Targets_Result__c.AIM_Due_for_Reporting__c">apttusmetadata!$BU$2:$BU$4</definedName>
    <definedName name="AIM_Outcome_Indicator_Targets_Result__c.AIM_Verification_Method_LFA__c">apttusmetadata!$BO$2:$BO$4</definedName>
    <definedName name="AIM_Outcome_Indicator_Targets_Result__c.AIM_Year_of_Result_LFA__c">apttusmetadata!$BQ$2:$BQ$25</definedName>
    <definedName name="AIM_Outcome_Indicator_Targets_Result__c.AIM_Year_of_Result_PR__c">apttusmetadata!$BR$2:$BR$25</definedName>
    <definedName name="AIM_Outcome_Indicator_Targets_Result__c.AIM_Year_of_Target__c">apttusmetadata!$BP$2:$BP$25</definedName>
    <definedName name="AIM_Performance__c.AIM_Major_Issues_Identified_LFA__c">apttusmetadata!$AF$2:$AF$4</definedName>
    <definedName name="AIM_Performance__c.AIM_Overall_Rating_LFA__c">apttusmetadata!$AG$2:$AG$6</definedName>
    <definedName name="AIM_Performance__c.AIM_Quantitative_Indicator_LFA__c">apttusmetadata!$AH$2:$AH$6</definedName>
    <definedName name="AIM_Procurement__c.AIM_Expiry_Response_LFA__c">apttusmetadata!$AD$2:$AD$4</definedName>
    <definedName name="AIM_Procurement__c.AIM_PQR_Response_LFA__c">apttusmetadata!$AB$2:$AB$4</definedName>
    <definedName name="AIM_Procurement__c.AIM_PQR_Response_PR__c">apttusmetadata!$AC$2:$AC$4</definedName>
    <definedName name="AIM_Procurement__c.AIM_Stock_Out_Response_LFA__c">apttusmetadata!$AE$2:$AE$4</definedName>
    <definedName name="AIM_Quarterly_Cash_Forecast__c.AIM_Type__c">apttusmetadata!$AJ$2:$AJ$6</definedName>
    <definedName name="AIM_WPTM_Results__c.AIM_Progress_Status_LFA__c">apttusmetadata!$CJ$2:$CJ$5</definedName>
    <definedName name="AIM_WPTM_Results__c.AIM_Progress_Status_PR__c">apttusmetadata!$CI$2:$CI$5</definedName>
    <definedName name="Albania" localSheetId="0">[3]Grants!#REF!</definedName>
    <definedName name="Albania">[3]Grants!#REF!</definedName>
    <definedName name="Angola">#REF!</definedName>
    <definedName name="Argentina" localSheetId="0">[3]Grants!#REF!</definedName>
    <definedName name="Argentina">[3]Grants!#REF!</definedName>
    <definedName name="Armenia" localSheetId="0">[3]Grants!#REF!</definedName>
    <definedName name="Armenia">[3]Grants!#REF!</definedName>
    <definedName name="AssumptionList">[4]Assumptions!$A$2:$A$50</definedName>
    <definedName name="Available_Cash">'Request and Recommendation_8B'!$B$18</definedName>
    <definedName name="Azerbaijan" localSheetId="0">[3]Grants!#REF!</definedName>
    <definedName name="Azerbaijan">[3]Grants!#REF!</definedName>
    <definedName name="B">#REF!</definedName>
    <definedName name="Bangladesh">#REF!</definedName>
    <definedName name="Belarus" localSheetId="0">[3]Grants!#REF!</definedName>
    <definedName name="Belarus">[3]Grants!#REF!</definedName>
    <definedName name="Belize" localSheetId="0">[3]Grants!#REF!</definedName>
    <definedName name="Belize">[3]Grants!#REF!</definedName>
    <definedName name="Benin">#REF!</definedName>
    <definedName name="Bhutan" localSheetId="0">[3]Grants!#REF!</definedName>
    <definedName name="Bhutan">[3]Grants!#REF!</definedName>
    <definedName name="blah2">#REF!</definedName>
    <definedName name="Bolivia" localSheetId="0">[3]Grants!#REF!</definedName>
    <definedName name="Bolivia">[3]Grants!#REF!</definedName>
    <definedName name="Bosnia_and_Herzegovina" localSheetId="0">[3]Grants!#REF!</definedName>
    <definedName name="Bosnia_and_Herzegovina">[3]Grants!#REF!</definedName>
    <definedName name="Botswana">#REF!</definedName>
    <definedName name="Bulgaria" localSheetId="0">[3]Grants!#REF!</definedName>
    <definedName name="Bulgaria">[3]Grants!#REF!</definedName>
    <definedName name="Burkina_Faso">#REF!</definedName>
    <definedName name="Burundi">#REF!</definedName>
    <definedName name="Cambodia">#REF!</definedName>
    <definedName name="Cameroon">#REF!</definedName>
    <definedName name="Cape_Verde" localSheetId="0">[3]Grants!#REF!</definedName>
    <definedName name="Cape_Verde">[3]Grants!#REF!</definedName>
    <definedName name="CaseDefenition" localSheetId="0">#REF!</definedName>
    <definedName name="CaseDefenition" localSheetId="17">#REF!</definedName>
    <definedName name="CaseDefenition" localSheetId="22">#REF!</definedName>
    <definedName name="CaseDefenition">#REF!</definedName>
    <definedName name="Casemanagement">#REF!</definedName>
    <definedName name="CaseManagement_Indicators">#REF!</definedName>
    <definedName name="Central_Africa">#REF!</definedName>
    <definedName name="Central_African_Republic">#REF!</definedName>
    <definedName name="Chad">#REF!</definedName>
    <definedName name="China" localSheetId="0">[3]Grants!#REF!</definedName>
    <definedName name="China">[3]Grants!#REF!</definedName>
    <definedName name="CM1a">#REF!</definedName>
    <definedName name="CM1aAge">#REF!</definedName>
    <definedName name="CM1aSex" localSheetId="0">#REF!</definedName>
    <definedName name="CM1aSex">#REF!</definedName>
    <definedName name="CM1aTypeoftesting">#REF!</definedName>
    <definedName name="CM1b">#REF!</definedName>
    <definedName name="CM1bAge">#REF!</definedName>
    <definedName name="CM1bSex" localSheetId="0">#REF!</definedName>
    <definedName name="CM1bSex">#REF!</definedName>
    <definedName name="CM1bTypeoftesting">#REF!</definedName>
    <definedName name="CM1c">#REF!</definedName>
    <definedName name="CM1cAge">#REF!</definedName>
    <definedName name="CM1cSex" localSheetId="0">#REF!</definedName>
    <definedName name="CM1cSex">#REF!</definedName>
    <definedName name="CM1cTypeoftesting">#REF!</definedName>
    <definedName name="CM2a">#REF!</definedName>
    <definedName name="CM2aAge">#REF!</definedName>
    <definedName name="CM2aSex" localSheetId="0">#REF!</definedName>
    <definedName name="CM2aSex">#REF!</definedName>
    <definedName name="CM2aTypeoftreatment" localSheetId="0">#REF!</definedName>
    <definedName name="CM2aTypeoftreatment">#REF!</definedName>
    <definedName name="CM2b">#REF!</definedName>
    <definedName name="CM2bAge">#REF!</definedName>
    <definedName name="CM2bSex" localSheetId="0">#REF!</definedName>
    <definedName name="CM2bSex">#REF!</definedName>
    <definedName name="CM2bTypeoftreatment" localSheetId="0">#REF!</definedName>
    <definedName name="CM2bTypeoftreatment">#REF!</definedName>
    <definedName name="CM2c">#REF!</definedName>
    <definedName name="CM2cAge">#REF!</definedName>
    <definedName name="CM2cSex" localSheetId="0">#REF!</definedName>
    <definedName name="CM2cSex">#REF!</definedName>
    <definedName name="CM2cTypeoftreatment" localSheetId="0">#REF!</definedName>
    <definedName name="CM2cTypeoftreatment">#REF!</definedName>
    <definedName name="CM3a">#REF!</definedName>
    <definedName name="CM3aAge">#REF!</definedName>
    <definedName name="CM3aSex" localSheetId="0">#REF!</definedName>
    <definedName name="CM3aSex">#REF!</definedName>
    <definedName name="CM3aTypeoftreatment" localSheetId="0">#REF!</definedName>
    <definedName name="CM3aTypeoftreatment">#REF!</definedName>
    <definedName name="CM3b">#REF!</definedName>
    <definedName name="CM3bAge">#REF!</definedName>
    <definedName name="CM3bSex" localSheetId="0">#REF!</definedName>
    <definedName name="CM3bSex">#REF!</definedName>
    <definedName name="CM3bTypeoftreatment" localSheetId="0">#REF!</definedName>
    <definedName name="CM3bTypeoftreatment">#REF!</definedName>
    <definedName name="CM3c">#REF!</definedName>
    <definedName name="CM3cAge">#REF!</definedName>
    <definedName name="CM3cSex" localSheetId="0">#REF!</definedName>
    <definedName name="CM3cSex">#REF!</definedName>
    <definedName name="CM3cTypeoftreatment" localSheetId="0">#REF!</definedName>
    <definedName name="CM3cTypeoftreatment">#REF!</definedName>
    <definedName name="Colombia" localSheetId="0">[3]Grants!#REF!</definedName>
    <definedName name="Colombia">[3]Grants!#REF!</definedName>
    <definedName name="Communitysystemsstrengthening">#REF!</definedName>
    <definedName name="Comoros" localSheetId="0">[3]Grants!#REF!</definedName>
    <definedName name="Comoros">[3]Grants!#REF!</definedName>
    <definedName name="Component">#REF!</definedName>
    <definedName name="ComponentModule">#REF!</definedName>
    <definedName name="ComponentSelected">[4]Setup!$B$4</definedName>
    <definedName name="Congo">#REF!</definedName>
    <definedName name="Congo__The_Democratic_Republic_of_the">#REF!</definedName>
    <definedName name="Cost_Input">OFFSET('Reference Records'!$E$97,1,0,MATCH(" ",LEFT('Reference Records'!$E$97:$E$174,255),-1)-1,1)</definedName>
    <definedName name="CostInputs">OFFSET('[4]Cost Inputs'!$N$3,0,VLOOKUP(ComponentSelected,[4]CatCmp!$C:$H,6,FALSE),'[4]Cost Inputs'!$S$2,1)</definedName>
    <definedName name="Cote_d_Ivoire">#REF!</definedName>
    <definedName name="Country_Short_Name">#REF!</definedName>
    <definedName name="CovDissagg">#REF!</definedName>
    <definedName name="CoverageChoice" localSheetId="24">OFFSET(#REF!, 0, 0, COUNTA(#REF!),1)</definedName>
    <definedName name="CoverageChoice" localSheetId="6">OFFSET(WPTM_1C!$B$7, 0, 0, COUNTA(WPTM_1C!$B$7:$B487),1)</definedName>
    <definedName name="CoverageChoice">OFFSET('Coverage Indicators_1B'!$B$10, 0, 0, COUNTA('Coverage Indicators_1B'!$B$10:$B487),1)</definedName>
    <definedName name="Cuba" localSheetId="0">[3]Grants!#REF!</definedName>
    <definedName name="Cuba">[3]Grants!#REF!</definedName>
    <definedName name="Currencies">[4]Setup!$B$10:$B$12</definedName>
    <definedName name="Currency">#REF!</definedName>
    <definedName name="Disagg_categories" localSheetId="0">#REF!</definedName>
    <definedName name="Disagg_categories" localSheetId="17">#REF!</definedName>
    <definedName name="Disagg_categories" localSheetId="22">#REF!</definedName>
    <definedName name="Disagg_categories">#REF!</definedName>
    <definedName name="Djibouti" localSheetId="0">[3]Grants!#REF!</definedName>
    <definedName name="Djibouti">[3]Grants!#REF!</definedName>
    <definedName name="Dominican_Republic" localSheetId="0">[3]Grants!#REF!</definedName>
    <definedName name="Dominican_Republic">[3]Grants!#REF!</definedName>
    <definedName name="DOTS1a">#REF!</definedName>
    <definedName name="DOTS1aAge">#REF!</definedName>
    <definedName name="DOTS1aHIVtestresult">#REF!</definedName>
    <definedName name="DOTS1aSex">#REF!</definedName>
    <definedName name="DOTS1b">#REF!</definedName>
    <definedName name="DOTS1bAge">#REF!</definedName>
    <definedName name="DOTS1bSex">#REF!</definedName>
    <definedName name="DOTS2a">#REF!</definedName>
    <definedName name="DOTS2aAge">#REF!</definedName>
    <definedName name="DOTS2aHIVtestresult">#REF!</definedName>
    <definedName name="DOTS2aSex">#REF!</definedName>
    <definedName name="DOTS6">#REF!</definedName>
    <definedName name="DOTS6KAPshighriskgroups">#REF!</definedName>
    <definedName name="E">#REF!</definedName>
    <definedName name="Eastern_Europe_and_Central_Asia">#REF!</definedName>
    <definedName name="Ecuador" localSheetId="0">[3]Grants!#REF!</definedName>
    <definedName name="Ecuador">[3]Grants!#REF!</definedName>
    <definedName name="EFR_List_IE">'[5]Definitions-lists-EFR'!$A$58:$A$65</definedName>
    <definedName name="EFRHealthSystemsStrengthening" localSheetId="0">#REF!</definedName>
    <definedName name="EFRHealthSystemsStrengthening">#REF!</definedName>
    <definedName name="EFRHIVAIDS" localSheetId="0">#REF!</definedName>
    <definedName name="EFRHIVAIDS">#REF!</definedName>
    <definedName name="EFRListMal">'[5]Definitions-lists-EFR'!$A$21:$A$25</definedName>
    <definedName name="EFRMalaria" localSheetId="0">#REF!</definedName>
    <definedName name="EFRMalaria">#REF!</definedName>
    <definedName name="EFRMalariaSDA">'[5]Memo Malaria'!$A$2:$A$24</definedName>
    <definedName name="EFRTuberculosis" localSheetId="0">#REF!</definedName>
    <definedName name="EFRTuberculosis">#REF!</definedName>
    <definedName name="Egypt" localSheetId="0">[3]Grants!#REF!</definedName>
    <definedName name="Egypt">[3]Grants!#REF!</definedName>
    <definedName name="El_Salvador" localSheetId="0">[3]Grants!#REF!</definedName>
    <definedName name="El_Salvador">[3]Grants!#REF!</definedName>
    <definedName name="Epidemic_preparedness_and_response">#REF!</definedName>
    <definedName name="Eritrea">#REF!</definedName>
    <definedName name="ES">#REF!</definedName>
    <definedName name="Ethiopia">#REF!</definedName>
    <definedName name="EuroLocal">'[2]Range Page'!$A$48</definedName>
    <definedName name="EuroUSD">'[2]Range Page'!$A$47</definedName>
    <definedName name="ExpenditureGF">[6]Input!$F$19</definedName>
    <definedName name="Facility_based_treatment">#REF!</definedName>
    <definedName name="Fiji" localSheetId="0">[3]Grants!#REF!</definedName>
    <definedName name="Fiji">[3]Grants!#REF!</definedName>
    <definedName name="Finance_Approver">[3]Lists!$G$3:$G$46</definedName>
    <definedName name="Gambia" localSheetId="0">[3]Grants!#REF!</definedName>
    <definedName name="Gambia">[3]Grants!#REF!</definedName>
    <definedName name="Georgia">#REF!</definedName>
    <definedName name="Ghana">#REF!</definedName>
    <definedName name="GP1D">#REF!</definedName>
    <definedName name="GP1DAge">#REF!</definedName>
    <definedName name="GP1DHIVstatus">#REF!</definedName>
    <definedName name="GP1DSex">#REF!</definedName>
    <definedName name="GrantData">[6]Data!$B$2:$F$1185</definedName>
    <definedName name="GrantList" localSheetId="0">#REF!</definedName>
    <definedName name="GrantList" localSheetId="3">#REF!</definedName>
    <definedName name="GrantList" localSheetId="17">#REF!</definedName>
    <definedName name="GrantList" localSheetId="22">#REF!</definedName>
    <definedName name="GrantList" localSheetId="15">#REF!</definedName>
    <definedName name="GrantList" localSheetId="6">#REF!</definedName>
    <definedName name="GrantList">#REF!</definedName>
    <definedName name="Grants" localSheetId="0">#REF!</definedName>
    <definedName name="Grants" localSheetId="3">#REF!</definedName>
    <definedName name="Grants" localSheetId="17">#REF!</definedName>
    <definedName name="Grants" localSheetId="22">#REF!</definedName>
    <definedName name="Grants" localSheetId="15">#REF!</definedName>
    <definedName name="Grants" localSheetId="6">#REF!</definedName>
    <definedName name="Grants">#REF!</definedName>
    <definedName name="Guatemala">#REF!</definedName>
    <definedName name="Guinea">#REF!</definedName>
    <definedName name="Guinea_Bissau">#REF!</definedName>
    <definedName name="Guyana" localSheetId="0">[3]Grants!#REF!</definedName>
    <definedName name="Guyana">[3]Grants!#REF!</definedName>
    <definedName name="Haiti">#REF!</definedName>
    <definedName name="HealthSystemsStrengthening_Module">#REF!</definedName>
    <definedName name="High_Impact_Africa_1">#REF!</definedName>
    <definedName name="High_Impact_Africa_2">#REF!</definedName>
    <definedName name="High_Impact_Asia">#REF!</definedName>
    <definedName name="HIV">#REF!</definedName>
    <definedName name="HIV_TBModule5">#REF!</definedName>
    <definedName name="HIV_TBModule6" localSheetId="0">#REF!</definedName>
    <definedName name="HIV_TBModule6" localSheetId="3">#REF!</definedName>
    <definedName name="HIV_TBModule6" localSheetId="17">'[7]Intervention By Modules'!#REF!</definedName>
    <definedName name="HIV_TBModule6" localSheetId="22">#REF!</definedName>
    <definedName name="HIV_TBModule6" localSheetId="15">'[7]Intervention By Modules'!#REF!</definedName>
    <definedName name="HIV_TBModule6" localSheetId="6">#REF!</definedName>
    <definedName name="HIV_TBModule6">#REF!</definedName>
    <definedName name="HIVAIDS_Module">#REF!</definedName>
    <definedName name="HIVI1">#REF!</definedName>
    <definedName name="HIVI1Sex">#REF!</definedName>
    <definedName name="HIVI2">#REF!</definedName>
    <definedName name="HIVI2Age">#REF!</definedName>
    <definedName name="HIVI2Sex">#REF!</definedName>
    <definedName name="HIVI4">#REF!</definedName>
    <definedName name="HIVI4Age">#REF!</definedName>
    <definedName name="HIVI4Sex">#REF!</definedName>
    <definedName name="HIVI9a">#REF!</definedName>
    <definedName name="HIVI9aAge">#REF!</definedName>
    <definedName name="HIVI9b">#REF!</definedName>
    <definedName name="HIVI9bAge">#REF!</definedName>
    <definedName name="HIVII">#REF!</definedName>
    <definedName name="HIVO1">#REF!</definedName>
    <definedName name="HIVO1Age">#REF!</definedName>
    <definedName name="HIVO1Durationoftreatment">#REF!</definedName>
    <definedName name="HIVO1Sex">#REF!</definedName>
    <definedName name="HIVO2">#REF!</definedName>
    <definedName name="HIVO2Age">#REF!</definedName>
    <definedName name="HIVO2Sex">#REF!</definedName>
    <definedName name="HIVO3">#REF!</definedName>
    <definedName name="HIVO3Age">#REF!</definedName>
    <definedName name="HIVO3Sex">#REF!</definedName>
    <definedName name="HIVO5">#REF!</definedName>
    <definedName name="HIVO5Sex">#REF!</definedName>
    <definedName name="HIVO6">#REF!</definedName>
    <definedName name="HIVO6Sex">#REF!</definedName>
    <definedName name="HIVO8">#REF!</definedName>
    <definedName name="HIVO8Sex">#REF!</definedName>
    <definedName name="HIVOI">#REF!</definedName>
    <definedName name="HIVSDA">#REF!</definedName>
    <definedName name="HIVSource">#REF!</definedName>
    <definedName name="HIVstatus" localSheetId="0">#REF!</definedName>
    <definedName name="HIVstatus" localSheetId="17">#REF!</definedName>
    <definedName name="HIVstatus" localSheetId="22">#REF!</definedName>
    <definedName name="HIVstatus">#REF!</definedName>
    <definedName name="HIVStatusPregnent" localSheetId="0">#REF!</definedName>
    <definedName name="HIVStatusPregnent" localSheetId="17">#REF!</definedName>
    <definedName name="HIVStatusPregnent" localSheetId="22">#REF!</definedName>
    <definedName name="HIVStatusPregnent">#REF!</definedName>
    <definedName name="HIVTB_Module">#REF!</definedName>
    <definedName name="HIVTestResult" localSheetId="0">#REF!</definedName>
    <definedName name="HIVTestResult" localSheetId="17">#REF!</definedName>
    <definedName name="HIVTestResult" localSheetId="22">#REF!</definedName>
    <definedName name="HIVTestResult">#REF!</definedName>
    <definedName name="Honduras" localSheetId="0">[3]Grants!#REF!</definedName>
    <definedName name="Honduras">[3]Grants!#REF!</definedName>
    <definedName name="HSS">#REF!</definedName>
    <definedName name="HSS_Servicedelivery">#REF!</definedName>
    <definedName name="HSSFinancialmanagement">#REF!</definedName>
    <definedName name="HSSHealthandcommunityworkforce">#REF!</definedName>
    <definedName name="HSSHealthcarefinancing">#REF!</definedName>
    <definedName name="HSSHealthinformationsystemsandME">#REF!</definedName>
    <definedName name="HSSPolicyandgovernance">#REF!</definedName>
    <definedName name="HSSProcurementsupplychainmanagementPSCM">#REF!</definedName>
    <definedName name="HSSServicedelivery">#REF!</definedName>
    <definedName name="HW1a">#REF!</definedName>
    <definedName name="HW1aSpecialization">#REF!</definedName>
    <definedName name="IDA_202_G02_H_00">#REF!</definedName>
    <definedName name="IDN_M_PERDHAK">#REF!</definedName>
    <definedName name="IE" localSheetId="0">#REF!</definedName>
    <definedName name="IE">#REF!</definedName>
    <definedName name="IMPLEMENTATION_PHASE" localSheetId="0">[8]Definitions!#REF!</definedName>
    <definedName name="IMPLEMENTATION_PHASE" localSheetId="17">[8]Definitions!#REF!</definedName>
    <definedName name="IMPLEMENTATION_PHASE">[8]Definitions!#REF!</definedName>
    <definedName name="ImpOutIndicatorChoice" localSheetId="24">OFFSET(#REF!,0,0,COUNTA(#REF!),1)</definedName>
    <definedName name="ImpOutIndicatorChoice">OFFSET('Impact Outcome Indicators_1A'!$D$9,0,0,COUNTA('Impact Outcome Indicators_1A'!$D$9:$D$70),1)</definedName>
    <definedName name="India">#REF!</definedName>
    <definedName name="IndicatorTypesList" localSheetId="0">#REF!</definedName>
    <definedName name="IndicatorTypesList" localSheetId="3">#REF!</definedName>
    <definedName name="IndicatorTypesList" localSheetId="17">#REF!</definedName>
    <definedName name="IndicatorTypesList" localSheetId="22">#REF!</definedName>
    <definedName name="IndicatorTypesList" localSheetId="15">#REF!</definedName>
    <definedName name="IndicatorTypesList" localSheetId="6">#REF!</definedName>
    <definedName name="IndicatorTypesList">#REF!</definedName>
    <definedName name="Indonesia">#REF!</definedName>
    <definedName name="Integrated_community_case_management__ICCM" localSheetId="0">#REF!</definedName>
    <definedName name="Integrated_community_case_management__ICCM" localSheetId="3">#REF!</definedName>
    <definedName name="Integrated_community_case_management__ICCM" localSheetId="17">'[7]Intervention By Modules'!#REF!</definedName>
    <definedName name="Integrated_community_case_management__ICCM" localSheetId="22">#REF!</definedName>
    <definedName name="Integrated_community_case_management__ICCM" localSheetId="15">'[7]Intervention By Modules'!#REF!</definedName>
    <definedName name="Integrated_community_case_management__ICCM" localSheetId="6">#REF!</definedName>
    <definedName name="Integrated_community_case_management__ICCM">#REF!</definedName>
    <definedName name="Intervention">#REF!</definedName>
    <definedName name="IODissagg">#REF!</definedName>
    <definedName name="Iran__Islamic_Republic_of" localSheetId="0">[3]Grants!#REF!</definedName>
    <definedName name="Iran__Islamic_Republic_of">[3]Grants!#REF!</definedName>
    <definedName name="Iraq" localSheetId="0">[3]Grants!#REF!</definedName>
    <definedName name="Iraq">[3]Grants!#REF!</definedName>
    <definedName name="ISSUES">#REF!</definedName>
    <definedName name="Jamaica" localSheetId="0">[3]Grants!#REF!</definedName>
    <definedName name="Jamaica">[3]Grants!#REF!</definedName>
    <definedName name="Jordan" localSheetId="0">[3]Grants!#REF!</definedName>
    <definedName name="Jordan">[3]Grants!#REF!</definedName>
    <definedName name="KAPs" localSheetId="0">#REF!</definedName>
    <definedName name="KAPs" localSheetId="17">#REF!</definedName>
    <definedName name="KAPs" localSheetId="22">#REF!</definedName>
    <definedName name="KAPs">#REF!</definedName>
    <definedName name="Kazakhstan" localSheetId="0">[3]Grants!#REF!</definedName>
    <definedName name="Kazakhstan">[3]Grants!#REF!</definedName>
    <definedName name="Kenya">#REF!</definedName>
    <definedName name="Korea__Democratic_People_s_Republic_of">#REF!</definedName>
    <definedName name="Kosovo" localSheetId="0">[3]Grants!#REF!</definedName>
    <definedName name="Kosovo">[3]Grants!#REF!</definedName>
    <definedName name="Kyrgyzstan" localSheetId="0">[3]Grants!#REF!</definedName>
    <definedName name="Kyrgyzstan">[3]Grants!#REF!</definedName>
    <definedName name="LangOffset">'[9]Chg log'!$D$1</definedName>
    <definedName name="Lao_People_s_Democratic_Republic" localSheetId="0">[3]Grants!#REF!</definedName>
    <definedName name="Lao_People_s_Democratic_Republic">[3]Grants!#REF!</definedName>
    <definedName name="Latin_America_and_Caribbean">#REF!</definedName>
    <definedName name="Lesotho" localSheetId="0">[3]Grants!#REF!</definedName>
    <definedName name="Lesotho">[3]Grants!#REF!</definedName>
    <definedName name="LFA_SDA" localSheetId="0">'[10]LFA_Programmatic Progress_1B'!#REF!</definedName>
    <definedName name="LFA_SDA">'[10]LFA_Programmatic Progress_1B'!#REF!</definedName>
    <definedName name="LFASig" localSheetId="0">#REF!</definedName>
    <definedName name="LFASig">#REF!</definedName>
    <definedName name="Liberia">#REF!</definedName>
    <definedName name="list" localSheetId="0">#REF!</definedName>
    <definedName name="list">#REF!</definedName>
    <definedName name="List_IE" localSheetId="0">#REF!</definedName>
    <definedName name="List_IE">#REF!</definedName>
    <definedName name="list1" localSheetId="0">#REF!</definedName>
    <definedName name="list1" localSheetId="3">#REF!</definedName>
    <definedName name="list1" localSheetId="17">#REF!</definedName>
    <definedName name="list1" localSheetId="22">#REF!</definedName>
    <definedName name="list1" localSheetId="15">#REF!</definedName>
    <definedName name="list1" localSheetId="6">#REF!</definedName>
    <definedName name="list1">#REF!</definedName>
    <definedName name="list2" localSheetId="0">#REF!</definedName>
    <definedName name="list2" localSheetId="3">#REF!</definedName>
    <definedName name="list2" localSheetId="17">#REF!</definedName>
    <definedName name="list2" localSheetId="22">#REF!</definedName>
    <definedName name="list2" localSheetId="15">#REF!</definedName>
    <definedName name="list2" localSheetId="6">#REF!</definedName>
    <definedName name="list2">#REF!</definedName>
    <definedName name="listH" localSheetId="4">#REF!</definedName>
    <definedName name="listH" localSheetId="0">#REF!</definedName>
    <definedName name="listH" localSheetId="3">#REF!</definedName>
    <definedName name="listH" localSheetId="17">#REF!</definedName>
    <definedName name="listH" localSheetId="22">#REF!</definedName>
    <definedName name="listH" localSheetId="15">#REF!</definedName>
    <definedName name="listH" localSheetId="6">#REF!</definedName>
    <definedName name="listH">#REF!</definedName>
    <definedName name="ListHIV" localSheetId="0">#REF!</definedName>
    <definedName name="ListHIV">#REF!</definedName>
    <definedName name="listie" localSheetId="0">#REF!</definedName>
    <definedName name="listie">#REF!</definedName>
    <definedName name="listmac" localSheetId="0">#REF!</definedName>
    <definedName name="listmac">#REF!</definedName>
    <definedName name="ListMal" localSheetId="0">#REF!</definedName>
    <definedName name="ListMal">#REF!</definedName>
    <definedName name="listnew" localSheetId="0">#REF!</definedName>
    <definedName name="listnew">#REF!</definedName>
    <definedName name="listS" localSheetId="0">#REF!</definedName>
    <definedName name="listS">#REF!</definedName>
    <definedName name="listsda" localSheetId="0">#REF!</definedName>
    <definedName name="listsda">#REF!</definedName>
    <definedName name="listsdah" localSheetId="0">#REF!</definedName>
    <definedName name="listsdah">#REF!</definedName>
    <definedName name="listsdahiv" localSheetId="0">#REF!</definedName>
    <definedName name="listsdahiv">#REF!</definedName>
    <definedName name="listsdahiv1" localSheetId="0">#REF!</definedName>
    <definedName name="listsdahiv1">#REF!</definedName>
    <definedName name="listsdam">[11]Definitions!$C$28:$C$50</definedName>
    <definedName name="listsdat" localSheetId="0">#REF!</definedName>
    <definedName name="listsdat">#REF!</definedName>
    <definedName name="listsdat1">[12]Definitions!$C$39:$C$54</definedName>
    <definedName name="listserv" localSheetId="0">#REF!</definedName>
    <definedName name="listserv">#REF!</definedName>
    <definedName name="ListTB" localSheetId="0">#REF!</definedName>
    <definedName name="ListTB">#REF!</definedName>
    <definedName name="Macedonia__The_Former_Yugoslav_Republic_of" localSheetId="0">[3]Grants!#REF!</definedName>
    <definedName name="Macedonia__The_Former_Yugoslav_Republic_of">[3]Grants!#REF!</definedName>
    <definedName name="Madagascar">#REF!</definedName>
    <definedName name="Malaria">#REF!</definedName>
    <definedName name="Malaria_Module">#REF!</definedName>
    <definedName name="MalariaI1">#REF!</definedName>
    <definedName name="MalariaI1Age">#REF!</definedName>
    <definedName name="MalariaI1Sex">#REF!</definedName>
    <definedName name="MalariaI2">#REF!</definedName>
    <definedName name="MalariaI2Age">#REF!</definedName>
    <definedName name="MalariaI2Sex">#REF!</definedName>
    <definedName name="MalariaI2Species">#REF!</definedName>
    <definedName name="MalariaI3">#REF!</definedName>
    <definedName name="MalariaI3Age">#REF!</definedName>
    <definedName name="MalariaI3Sex">#REF!</definedName>
    <definedName name="MalariaI4">#REF!</definedName>
    <definedName name="MalariaI4Species">#REF!</definedName>
    <definedName name="MalariaI4Typeoftesting">#REF!</definedName>
    <definedName name="MalariaI5">#REF!</definedName>
    <definedName name="MalariaI5Sex">#REF!</definedName>
    <definedName name="MalariaI5Species">#REF!</definedName>
    <definedName name="MalariaI6">#REF!</definedName>
    <definedName name="MalariaI6Sex">#REF!</definedName>
    <definedName name="MalariaII">#REF!</definedName>
    <definedName name="MalariaImpact">#REF!</definedName>
    <definedName name="MalariaModule1">#REF!</definedName>
    <definedName name="MalariaModule2">#REF!</definedName>
    <definedName name="MalariaModule3">#REF!</definedName>
    <definedName name="MalariaO1a">#REF!</definedName>
    <definedName name="MalariaO1aSex">#REF!</definedName>
    <definedName name="MalariaO3">#REF!</definedName>
    <definedName name="MalariaO3Sex">#REF!</definedName>
    <definedName name="MalariaOI">#REF!</definedName>
    <definedName name="MalariaSDA">#REF!</definedName>
    <definedName name="MalariaSource">#REF!</definedName>
    <definedName name="Malawi">#REF!</definedName>
    <definedName name="Malaysia" localSheetId="0">[3]Grants!#REF!</definedName>
    <definedName name="Malaysia">[3]Grants!#REF!</definedName>
    <definedName name="Mali">#REF!</definedName>
    <definedName name="Mauritania">#REF!</definedName>
    <definedName name="Mauritius" localSheetId="0">[3]Grants!#REF!</definedName>
    <definedName name="Mauritius">[3]Grants!#REF!</definedName>
    <definedName name="MDRTB">#REF!</definedName>
    <definedName name="MDRTB2">#REF!</definedName>
    <definedName name="MDRTB2Age">#REF!</definedName>
    <definedName name="MDRTB2Sex">#REF!</definedName>
    <definedName name="MDRTB3">#REF!</definedName>
    <definedName name="MDRTB3Age">#REF!</definedName>
    <definedName name="MDRTB3Casedefinition" localSheetId="0">#REF!</definedName>
    <definedName name="MDRTB3Casedefinition">#REF!</definedName>
    <definedName name="MDRTB3Sex">#REF!</definedName>
    <definedName name="Middle_East_and_North_Africa">#REF!</definedName>
    <definedName name="Module_Indicators">#REF!</definedName>
    <definedName name="Module_List">OFFSET('Reference Records'!$J$12,1,0,MATCH(" ",LEFT('Reference Records'!$J$12:$J$25,255),-1)-1,1)</definedName>
    <definedName name="Module1">#REF!</definedName>
    <definedName name="Module10">#REF!</definedName>
    <definedName name="Module11">#REF!</definedName>
    <definedName name="Module12">#REF!</definedName>
    <definedName name="Module13">#REF!</definedName>
    <definedName name="Module14">#REF!</definedName>
    <definedName name="Module15">#REF!</definedName>
    <definedName name="Module2">#REF!</definedName>
    <definedName name="Module24">#REF!</definedName>
    <definedName name="Module27">#REF!</definedName>
    <definedName name="Module28">#REF!</definedName>
    <definedName name="Module29">#REF!</definedName>
    <definedName name="Module3">#REF!</definedName>
    <definedName name="Module30">#REF!</definedName>
    <definedName name="Module31">#REF!</definedName>
    <definedName name="Module32">#REF!</definedName>
    <definedName name="Module33">#REF!</definedName>
    <definedName name="Module34">#REF!</definedName>
    <definedName name="Module35">#REF!</definedName>
    <definedName name="Module4">#REF!</definedName>
    <definedName name="Module5">#REF!</definedName>
    <definedName name="Module6" localSheetId="0">#REF!</definedName>
    <definedName name="Module6" localSheetId="3">#REF!</definedName>
    <definedName name="Module6" localSheetId="17">'[7]Coverage Indicators'!#REF!</definedName>
    <definedName name="Module6" localSheetId="22">#REF!</definedName>
    <definedName name="Module6" localSheetId="15">'[7]Coverage Indicators'!#REF!</definedName>
    <definedName name="Module6" localSheetId="6">#REF!</definedName>
    <definedName name="Module6">#REF!</definedName>
    <definedName name="Module72">#REF!</definedName>
    <definedName name="Module73">#REF!</definedName>
    <definedName name="Module8">#REF!</definedName>
    <definedName name="Module9">#REF!</definedName>
    <definedName name="ModuleChoice" localSheetId="0">OFFSET(#REF!,0,0,(COUNTA(#REF!)-1),1)</definedName>
    <definedName name="ModuleChoice" localSheetId="3">OFFSET(#REF!,0,0,(COUNTA(#REF!)-1),1)</definedName>
    <definedName name="ModuleChoice" localSheetId="24">OFFSET(#REF!,0,0,(COUNTA(#REF!)-1),1)</definedName>
    <definedName name="ModuleChoice" localSheetId="17">OFFSET(#REF!,0,0,(COUNTA(#REF!)-1),1)</definedName>
    <definedName name="ModuleChoice" localSheetId="22">OFFSET(#REF!,0,0,(COUNTA(#REF!)-1),1)</definedName>
    <definedName name="ModuleChoice" localSheetId="15">OFFSET(#REF!,0,0,(COUNTA(#REF!)-1),1)</definedName>
    <definedName name="ModuleChoice" localSheetId="6">OFFSET(#REF!,0,0,(COUNTA(#REF!)-1),1)</definedName>
    <definedName name="ModuleChoice">OFFSET(#REF!,0,0,(COUNTA(#REF!)-1),1)</definedName>
    <definedName name="ModuleColumn">InterventionList[Module]</definedName>
    <definedName name="Modules">#REF!</definedName>
    <definedName name="ModulesInCmp">OFFSET([4]ModInCmp!$C$2,0,0,NbrOfModulesInCmp,1)</definedName>
    <definedName name="ModuleStart">'Reference Records'!$B$30</definedName>
    <definedName name="Moldova__Republic_of" localSheetId="0">[3]Grants!#REF!</definedName>
    <definedName name="Moldova__Republic_of">[3]Grants!#REF!</definedName>
    <definedName name="Mongolia" localSheetId="0">[3]Grants!#REF!</definedName>
    <definedName name="Mongolia">[3]Grants!#REF!</definedName>
    <definedName name="Morocco" localSheetId="0">[3]Grants!#REF!</definedName>
    <definedName name="Morocco">[3]Grants!#REF!</definedName>
    <definedName name="Mozambique">#REF!</definedName>
    <definedName name="Multicountry_Africa__SADC" localSheetId="0">[3]Grants!#REF!</definedName>
    <definedName name="Multicountry_Africa__SADC">[3]Grants!#REF!</definedName>
    <definedName name="Multicountry_Africa__West_Africa_Corridor_Program" localSheetId="0">[3]Grants!#REF!</definedName>
    <definedName name="Multicountry_Africa__West_Africa_Corridor_Program">[3]Grants!#REF!</definedName>
    <definedName name="Multicountry_Americas__CARICOM___PANCAP" localSheetId="0">[3]Grants!#REF!</definedName>
    <definedName name="Multicountry_Americas__CARICOM___PANCAP">[3]Grants!#REF!</definedName>
    <definedName name="Multicountry_Americas__COPRECOS" localSheetId="0">[3]Grants!#REF!</definedName>
    <definedName name="Multicountry_Americas__COPRECOS">[3]Grants!#REF!</definedName>
    <definedName name="Multicountry_Americas__Meso" localSheetId="0">[3]Grants!#REF!</definedName>
    <definedName name="Multicountry_Americas__Meso">[3]Grants!#REF!</definedName>
    <definedName name="Multicountry_Americas__REDCA" localSheetId="0">[3]Grants!#REF!</definedName>
    <definedName name="Multicountry_Americas__REDCA">[3]Grants!#REF!</definedName>
    <definedName name="Multicountry_Americas__REDTRASEX" localSheetId="0">[3]Grants!#REF!</definedName>
    <definedName name="Multicountry_Americas__REDTRASEX">[3]Grants!#REF!</definedName>
    <definedName name="Multicountry_East_Asia_And_Pacific__APN" localSheetId="0">[3]Grants!#REF!</definedName>
    <definedName name="Multicountry_East_Asia_And_Pacific__APN">[3]Grants!#REF!</definedName>
    <definedName name="Multicountry_East_Asia_And_Pacific__ISEAN_HIVOS" localSheetId="0">[3]Grants!#REF!</definedName>
    <definedName name="Multicountry_East_Asia_And_Pacific__ISEAN_HIVOS">[3]Grants!#REF!</definedName>
    <definedName name="Multicountry_East_Asia_and_Pacific__RAI">#REF!</definedName>
    <definedName name="Multicountry_Eastern_Europe___Central_Asia__EHRN" localSheetId="0">[3]Grants!#REF!</definedName>
    <definedName name="Multicountry_Eastern_Europe___Central_Asia__EHRN">[3]Grants!#REF!</definedName>
    <definedName name="Multicountry_Middle_East__IOM" localSheetId="0">[3]Grants!#REF!</definedName>
    <definedName name="Multicountry_Middle_East__IOM">[3]Grants!#REF!</definedName>
    <definedName name="Multicountry_Middle_East_and_North_Africa__MENAHRA" localSheetId="0">[3]Grants!#REF!</definedName>
    <definedName name="Multicountry_Middle_East_and_North_Africa__MENAHRA">[3]Grants!#REF!</definedName>
    <definedName name="Multicountry_South_Asia" localSheetId="0">[3]Grants!#REF!</definedName>
    <definedName name="Multicountry_South_Asia">[3]Grants!#REF!</definedName>
    <definedName name="Multicountry_Western_Pacific" localSheetId="0">[3]Grants!#REF!</definedName>
    <definedName name="Multicountry_Western_Pacific">[3]Grants!#REF!</definedName>
    <definedName name="Myanmar">#REF!</definedName>
    <definedName name="Namibia">#REF!</definedName>
    <definedName name="NbrOfModulesInCmp">COUNT([4]ModInCmp!$A:$A)</definedName>
    <definedName name="Nepal">#REF!</definedName>
    <definedName name="NewStatus">'Grant Management_4'!$AD$60:$AD$63</definedName>
    <definedName name="Nicaragua" localSheetId="0">[3]Grants!#REF!</definedName>
    <definedName name="Nicaragua">[3]Grants!#REF!</definedName>
    <definedName name="Niger">#REF!</definedName>
    <definedName name="Nigeria">#REF!</definedName>
    <definedName name="Official_Country_Name">#REF!</definedName>
    <definedName name="OI_Component">#REF!</definedName>
    <definedName name="OI_HIV">#REF!</definedName>
    <definedName name="OI_HSS">#REF!</definedName>
    <definedName name="OI_Malaria">#REF!</definedName>
    <definedName name="OI_TB">#REF!</definedName>
    <definedName name="Pakistan">#REF!</definedName>
    <definedName name="Palestine" localSheetId="0">[3]Grants!#REF!</definedName>
    <definedName name="Palestine">[3]Grants!#REF!</definedName>
    <definedName name="Panama" localSheetId="0">[3]Grants!#REF!</definedName>
    <definedName name="Panama">[3]Grants!#REF!</definedName>
    <definedName name="Papua_New_Guinea">#REF!</definedName>
    <definedName name="Paraguay" localSheetId="0">[3]Grants!#REF!</definedName>
    <definedName name="Paraguay">[3]Grants!#REF!</definedName>
    <definedName name="Peru" localSheetId="0">[3]Grants!#REF!</definedName>
    <definedName name="Peru">[3]Grants!#REF!</definedName>
    <definedName name="Philippines">#REF!</definedName>
    <definedName name="PICKLISTKEYVALUEPAIR">apttusmetadata!$Y$2:$Z$16</definedName>
    <definedName name="Please_Select">#REF!</definedName>
    <definedName name="PMTCT">#REF!</definedName>
    <definedName name="PMTCT1">#REF!</definedName>
    <definedName name="PMTCT1HIVstatuspregnantwomen">#REF!</definedName>
    <definedName name="PMTCT2" localSheetId="0">#REF!</definedName>
    <definedName name="PMTCT2">#REF!</definedName>
    <definedName name="PMTCT2Typeofregimen" localSheetId="0">#REF!</definedName>
    <definedName name="PMTCT2Typeofregimen">#REF!</definedName>
    <definedName name="PNG_M_PSI">#REF!</definedName>
    <definedName name="PR_SDA" localSheetId="4">'Coverage Indicators_1B'!#REF!</definedName>
    <definedName name="PR_SDA" localSheetId="0">#REF!</definedName>
    <definedName name="PR_SDA" localSheetId="3">#REF!</definedName>
    <definedName name="PR_SDA" localSheetId="17">#REF!</definedName>
    <definedName name="PR_SDA" localSheetId="22">#REF!</definedName>
    <definedName name="PR_SDA" localSheetId="15">#REF!</definedName>
    <definedName name="PR_SDA" localSheetId="6">WPTM_1C!$B$8:$B$45</definedName>
    <definedName name="PR_SDA">#REF!</definedName>
    <definedName name="PRAcronym">'[4]Budget Lines'!$J$2:INDEX('[4]Budget Lines'!$J$2:$J$22,COUNTIF('[4]Budget Lines'!$J$2:$J$22,"?*"))</definedName>
    <definedName name="Preventionprogramsforadolescentsandyouthinandoutofschool">#REF!</definedName>
    <definedName name="Preventionprogramsforgeneralpopulation">#REF!</definedName>
    <definedName name="PreventionprogramsforMSMandTGs">#REF!</definedName>
    <definedName name="Preventionprogramsforothervulnerablepopulationspleasespecify">#REF!</definedName>
    <definedName name="PreventionprogramsforpeoplewhoinjectdrugsPWIDandtheirpartners">#REF!</definedName>
    <definedName name="Preventionprogramsforsexworkersandtheirclients">#REF!</definedName>
    <definedName name="_xlnm.Print_Area" localSheetId="10">'Budget Variance_2F'!$A$1:$N$31</definedName>
    <definedName name="_xlnm.Print_Area" localSheetId="19">'Cash Forecast_8A'!$A$1:$N$112</definedName>
    <definedName name="_xlnm.Print_Area" localSheetId="4">'Coverage Indicators_1B'!$A$1:$AI$19</definedName>
    <definedName name="_xlnm.Print_Area" localSheetId="0">CoverSheet!$A$1:$O$20</definedName>
    <definedName name="_xlnm.Print_Area" localSheetId="3">Disaggregation_1A!$A$1:$Q$13</definedName>
    <definedName name="_xlnm.Print_Area" localSheetId="5">Disaggregation_1B!$A$1:$V$26</definedName>
    <definedName name="_xlnm.Print_Area" localSheetId="24">'Financial Triggers_10'!$A$1:$F$15</definedName>
    <definedName name="_xlnm.Print_Area" localSheetId="12">'Grant Management_4'!$A$1:$P$77</definedName>
    <definedName name="_xlnm.Print_Area" localSheetId="2">'Impact Outcome Indicators_1A'!$A$1:$AG$27</definedName>
    <definedName name="_xlnm.Print_Area" localSheetId="23">'LFA Authorization_9B'!$A$1:$O$25</definedName>
    <definedName name="_xlnm.Print_Area" localSheetId="17">'LFA Expenditure_7B'!$A$1:$M$74</definedName>
    <definedName name="_xlnm.Print_Area" localSheetId="14">'LFA_Findings&amp;Recommendations_6'!$A$1:$D$42</definedName>
    <definedName name="_xlnm.Print_Area" localSheetId="22">'PR Authorization_9A'!$A$1:$O$21</definedName>
    <definedName name="_xlnm.Print_Area" localSheetId="7">'PR Cash Reconciliation_2A,B,C,D'!$A$1:$L$57</definedName>
    <definedName name="_xlnm.Print_Area" localSheetId="15">'PR Expenditure_7A'!$A$1:$M$75</definedName>
    <definedName name="_xlnm.Print_Area" localSheetId="13">'PR-LFA Evaluation_5'!$A$1:$O$55</definedName>
    <definedName name="_xlnm.Print_Area" localSheetId="11">Procurement_3!$I$1:$X$58</definedName>
    <definedName name="_xlnm.Print_Area" localSheetId="20">'Request and Recommendation_8B'!$A$1:$V$74</definedName>
    <definedName name="_xlnm.Print_Area" localSheetId="9">'SR_Cash Reconciliation_2E'!$A$1:$N$115</definedName>
    <definedName name="_xlnm.Print_Area" localSheetId="6">WPTM_1C!$A$1:$S$9</definedName>
    <definedName name="_xlnm.Print_Titles" localSheetId="4">'Coverage Indicators_1B'!$A:$C,'Coverage Indicators_1B'!$1:$9</definedName>
    <definedName name="_xlnm.Print_Titles" localSheetId="3">Disaggregation_1A!$A:$D,Disaggregation_1A!$1:$6</definedName>
    <definedName name="_xlnm.Print_Titles" localSheetId="5">Disaggregation_1B!$A:$E,Disaggregation_1B!$1:$6</definedName>
    <definedName name="_xlnm.Print_Titles" localSheetId="2">'Impact Outcome Indicators_1A'!$C:$D,'Impact Outcome Indicators_1A'!$1:$8</definedName>
    <definedName name="_xlnm.Print_Titles" localSheetId="14">'LFA_Findings&amp;Recommendations_6'!$4:$7</definedName>
    <definedName name="_xlnm.Print_Titles" localSheetId="9">'SR_Cash Reconciliation_2E'!$5:$8</definedName>
    <definedName name="_xlnm.Print_Titles" localSheetId="6">WPTM_1C!$A:$D,WPTM_1C!$1:$6</definedName>
    <definedName name="Private_sector_case_management__other">#REF!</definedName>
    <definedName name="Private_sector_co_payment_mechanism">#REF!</definedName>
    <definedName name="procurementfee">'[2]Range Page'!$A$39</definedName>
    <definedName name="Programmanagement">#REF!</definedName>
    <definedName name="PS">#REF!</definedName>
    <definedName name="Regions">#REF!</definedName>
    <definedName name="Removinglegalbarrierstoaccess">#REF!</definedName>
    <definedName name="Reporting_Period">[3]Lists!$E$3:$E$6</definedName>
    <definedName name="ResultsbasedFinancing">#REF!</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MinimizeOnStart" hidden="1">FALSE</definedName>
    <definedName name="RiskMonitorConvergence" hidden="1">TRUE</definedName>
    <definedName name="RiskMultipleCPUSupportEnabled" hidden="1">TRUE</definedName>
    <definedName name="RiskNumIterations" hidden="1">5000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2</definedName>
    <definedName name="RiskStandardRecalc" hidden="1">2</definedName>
    <definedName name="RiskUpdateDisplay" hidden="1">TRUE</definedName>
    <definedName name="RiskUseDifferentSeedForEachSim" hidden="1">FALSE</definedName>
    <definedName name="RiskUseFixedSeed" hidden="1">FALSE</definedName>
    <definedName name="RiskUseMultipleCPUs" hidden="1">TRUE</definedName>
    <definedName name="rngCurrency">#REF!</definedName>
    <definedName name="Romania" localSheetId="0">[3]Grants!#REF!</definedName>
    <definedName name="Romania">[3]Grants!#REF!</definedName>
    <definedName name="Russian_Federation" localSheetId="0">[3]Grants!#REF!</definedName>
    <definedName name="Russian_Federation">[3]Grants!#REF!</definedName>
    <definedName name="Rwanda">#REF!</definedName>
    <definedName name="S">'[10]Memo HIV'!$A$2:$A$26</definedName>
    <definedName name="Sao_Tome_and_Principe" localSheetId="0">[3]Grants!#REF!</definedName>
    <definedName name="Sao_Tome_and_Principe">[3]Grants!#REF!</definedName>
    <definedName name="SD" localSheetId="0">#REF!</definedName>
    <definedName name="SD">#REF!</definedName>
    <definedName name="SDA" localSheetId="0">#REF!</definedName>
    <definedName name="SDA">#REF!</definedName>
    <definedName name="SDAHealthSystemsStrengthening" localSheetId="0">#REF!</definedName>
    <definedName name="SDAHealthSystemsStrengthening">#REF!</definedName>
    <definedName name="SDAHIVAIDS" localSheetId="0">#REF!</definedName>
    <definedName name="SDAHIVAIDS">#REF!</definedName>
    <definedName name="SDAList">#REF!</definedName>
    <definedName name="SDAMalaria" localSheetId="0">#REF!</definedName>
    <definedName name="SDAMalaria">#REF!</definedName>
    <definedName name="SDATuberculosis" localSheetId="0">#REF!</definedName>
    <definedName name="SDATuberculosis">#REF!</definedName>
    <definedName name="Select">#REF!</definedName>
    <definedName name="Senegal">#REF!</definedName>
    <definedName name="Serbia" localSheetId="0">[3]Grants!#REF!</definedName>
    <definedName name="Serbia">[3]Grants!#REF!</definedName>
    <definedName name="Severe_malaria">#REF!</definedName>
    <definedName name="Sex" localSheetId="0">#REF!</definedName>
    <definedName name="Sex" localSheetId="17">#REF!</definedName>
    <definedName name="Sex" localSheetId="22">#REF!</definedName>
    <definedName name="Sex">#REF!</definedName>
    <definedName name="Sierra_Leone">#REF!</definedName>
    <definedName name="Solomon_Islands" localSheetId="0">[3]Grants!#REF!</definedName>
    <definedName name="Solomon_Islands">[3]Grants!#REF!</definedName>
    <definedName name="Somalia">#REF!</definedName>
    <definedName name="Sources" localSheetId="0">#REF!</definedName>
    <definedName name="Sources">#REF!</definedName>
    <definedName name="South_Africa">#REF!</definedName>
    <definedName name="South_East_Asia">#REF!</definedName>
    <definedName name="South_Sudan">#REF!</definedName>
    <definedName name="Southern_and_Eastern_Africa">#REF!</definedName>
    <definedName name="Specialization" localSheetId="0">#REF!</definedName>
    <definedName name="Specialization" localSheetId="17">#REF!</definedName>
    <definedName name="Specialization" localSheetId="22">#REF!</definedName>
    <definedName name="Specialization">#REF!</definedName>
    <definedName name="SpecificpreventioninterventionsSPI">#REF!</definedName>
    <definedName name="Sri_Lanka">#REF!</definedName>
    <definedName name="StatusValues">'Grant Management_4'!$AC$60:$AC$62</definedName>
    <definedName name="Sudan">#REF!</definedName>
    <definedName name="Suriname" localSheetId="0">[3]Grants!#REF!</definedName>
    <definedName name="Suriname">[3]Grants!#REF!</definedName>
    <definedName name="Swaziland">#REF!</definedName>
    <definedName name="Syrian_Arab_Republic" localSheetId="0">[3]Grants!#REF!</definedName>
    <definedName name="Syrian_Arab_Republic">[3]Grants!#REF!</definedName>
    <definedName name="Tajikistan">#REF!</definedName>
    <definedName name="Tanzania__United_Republic_of">#REF!</definedName>
    <definedName name="TargetedRiskGroup" localSheetId="0">#REF!</definedName>
    <definedName name="TargetedRiskGroup" localSheetId="17">#REF!</definedName>
    <definedName name="TargetedRiskGroup" localSheetId="22">#REF!</definedName>
    <definedName name="TargetedRiskGroup">#REF!</definedName>
    <definedName name="Tax_Exemption_Status">[3]Lists!$A$11:$A$14</definedName>
    <definedName name="TaxPaidGF">[6]Input!$F$16</definedName>
    <definedName name="TaxPaidPR">[6]Input!$C$16</definedName>
    <definedName name="TaxPaidSR">[6]Input!$D$16</definedName>
    <definedName name="TaxPaidTotal">[6]Input!$E$16</definedName>
    <definedName name="TaxRecoveredGF">[6]Input!$F$17</definedName>
    <definedName name="TB">#REF!</definedName>
    <definedName name="TBcareandprevention">#REF!</definedName>
    <definedName name="TBHIV">#REF!</definedName>
    <definedName name="TBII">#REF!</definedName>
    <definedName name="TBO4a" localSheetId="0">#REF!</definedName>
    <definedName name="TBO4a">#REF!</definedName>
    <definedName name="TBO4Age" localSheetId="0">#REF!</definedName>
    <definedName name="TBO4Age">#REF!</definedName>
    <definedName name="TBO4Sex" localSheetId="0">#REF!</definedName>
    <definedName name="TBO4Sex">#REF!</definedName>
    <definedName name="TBOI">#REF!</definedName>
    <definedName name="TBSDA">#REF!</definedName>
    <definedName name="TBSource">#REF!</definedName>
    <definedName name="TCS1a">#REF!</definedName>
    <definedName name="TCS1aAge">#REF!</definedName>
    <definedName name="TCS1aSex">#REF!</definedName>
    <definedName name="TCS2a">#REF!</definedName>
    <definedName name="TCS2aSex">#REF!</definedName>
    <definedName name="TCS3a">#REF!</definedName>
    <definedName name="TCS3aAge">#REF!</definedName>
    <definedName name="TCS3aSex">#REF!</definedName>
    <definedName name="TEST" localSheetId="4">'Coverage Indicators_1B'!#REF!</definedName>
    <definedName name="TEST" localSheetId="0">#REF!</definedName>
    <definedName name="TEST" localSheetId="3">#REF!</definedName>
    <definedName name="TEST" localSheetId="17">#REF!</definedName>
    <definedName name="TEST" localSheetId="22">#REF!</definedName>
    <definedName name="TEST" localSheetId="15">#REF!</definedName>
    <definedName name="TEST" localSheetId="6">WPTM_1C!$B$8:$B$45</definedName>
    <definedName name="TEST">#REF!</definedName>
    <definedName name="Thailand">#REF!</definedName>
    <definedName name="Therapeutic_efficacy_surveillance">#REF!</definedName>
    <definedName name="Timeframe" localSheetId="4">#REF!</definedName>
    <definedName name="Timeframe" localSheetId="0">#REF!</definedName>
    <definedName name="Timeframe" localSheetId="3">#REF!</definedName>
    <definedName name="Timeframe" localSheetId="17">#REF!</definedName>
    <definedName name="Timeframe" localSheetId="22">#REF!</definedName>
    <definedName name="Timeframe" localSheetId="15">#REF!</definedName>
    <definedName name="Timeframe" localSheetId="6">#REF!</definedName>
    <definedName name="Timeframe">#REF!</definedName>
    <definedName name="Timor_Leste">#REF!</definedName>
    <definedName name="Togo">#REF!</definedName>
    <definedName name="Treatmentcareandsupport">#REF!</definedName>
    <definedName name="Tuberculosis_Module">#REF!</definedName>
    <definedName name="TuberculosisModule4">#REF!</definedName>
    <definedName name="TuberculosisModule5">#REF!</definedName>
    <definedName name="Tunisia" localSheetId="0">[3]Grants!#REF!</definedName>
    <definedName name="Tunisia">[3]Grants!#REF!</definedName>
    <definedName name="Turkmenistan" localSheetId="0">[3]Grants!#REF!</definedName>
    <definedName name="Turkmenistan">[3]Grants!#REF!</definedName>
    <definedName name="Type_of_Recipient">[7]Sheet1!$C$12:$C$25</definedName>
    <definedName name="Type1">#REF!</definedName>
    <definedName name="Type10">#REF!</definedName>
    <definedName name="Type2">#REF!</definedName>
    <definedName name="Type3">#REF!</definedName>
    <definedName name="Type4">#REF!</definedName>
    <definedName name="Type5">#REF!</definedName>
    <definedName name="Type6">#REF!</definedName>
    <definedName name="Type7">#REF!</definedName>
    <definedName name="Type8">#REF!</definedName>
    <definedName name="Type9">#REF!</definedName>
    <definedName name="TypeRegimen" localSheetId="0">#REF!</definedName>
    <definedName name="TypeRegimen" localSheetId="17">#REF!</definedName>
    <definedName name="TypeRegimen" localSheetId="22">#REF!</definedName>
    <definedName name="TypeRegimen">#REF!</definedName>
    <definedName name="TypeTesting" localSheetId="0">#REF!</definedName>
    <definedName name="TypeTesting" localSheetId="17">#REF!</definedName>
    <definedName name="TypeTesting" localSheetId="22">#REF!</definedName>
    <definedName name="TypeTesting">#REF!</definedName>
    <definedName name="TypeTreatment" localSheetId="0">#REF!</definedName>
    <definedName name="TypeTreatment" localSheetId="17">#REF!</definedName>
    <definedName name="TypeTreatment" localSheetId="22">#REF!</definedName>
    <definedName name="TypeTreatment">#REF!</definedName>
    <definedName name="Uganda">#REF!</definedName>
    <definedName name="Ukraine">#REF!</definedName>
    <definedName name="UnrecoverableGF">[6]Input!$F$18</definedName>
    <definedName name="Uruguay" localSheetId="0">[3]Grants!#REF!</definedName>
    <definedName name="Uruguay">[3]Grants!#REF!</definedName>
    <definedName name="Uzbekistan">#REF!</definedName>
    <definedName name="VC3a">#REF!</definedName>
    <definedName name="VC3aTargetedriskgroup">#REF!</definedName>
    <definedName name="VC4a">#REF!</definedName>
    <definedName name="VC4aTargetedriskgroup">#REF!</definedName>
    <definedName name="Vectorcontrol">#REF!</definedName>
    <definedName name="Viet_Nam">#REF!</definedName>
    <definedName name="Western_Africa">#REF!</definedName>
    <definedName name="XAuthorInvalidPicklistData">apttusmetadata!$B$1</definedName>
    <definedName name="Year">#REF!</definedName>
    <definedName name="Yemen">#REF!</definedName>
    <definedName name="YESNO">#REF!</definedName>
    <definedName name="Z_E26F941C_F347_432D_B4B3_73B25F002075_.wvu.PrintArea" localSheetId="4" hidden="1">'Coverage Indicators_1B'!$A$1:$U$10</definedName>
    <definedName name="Z_E26F941C_F347_432D_B4B3_73B25F002075_.wvu.PrintArea" localSheetId="0" hidden="1">CoverSheet!#REF!</definedName>
    <definedName name="Z_E26F941C_F347_432D_B4B3_73B25F002075_.wvu.PrintArea" localSheetId="2" hidden="1">'Impact Outcome Indicators_1A'!$C$1:$R$31</definedName>
    <definedName name="Z_E26F941C_F347_432D_B4B3_73B25F002075_.wvu.PrintArea" localSheetId="6" hidden="1">WPTM_1C!$A$1:$N$44</definedName>
    <definedName name="Z_E26F941C_F347_432D_B4B3_73B25F002075_.wvu.Rows" localSheetId="2" hidden="1">'Impact Outcome Indicators_1A'!$2:$2</definedName>
    <definedName name="Zambia">#REF!</definedName>
    <definedName name="Zanzibar">#REF!</definedName>
    <definedName name="Zimbabwe">#REF!</definedName>
  </definedNames>
  <calcPr calcId="152511"/>
  <customWorkbookViews>
    <customWorkbookView name="jinfanti - Personal View" guid="{E26F941C-F347-432D-B4B3-73B25F002075}" autoUpdate="1" mergeInterval="5" personalView="1" maximized="1" xWindow="1" yWindow="1" windowWidth="1280" windowHeight="803" tabRatio="792" activeSheetId="2" showComments="commIndAndComment"/>
  </customWorkbookViews>
</workbook>
</file>

<file path=xl/calcChain.xml><?xml version="1.0" encoding="utf-8"?>
<calcChain xmlns="http://schemas.openxmlformats.org/spreadsheetml/2006/main">
  <c r="N16" i="64" l="1"/>
  <c r="O12" i="64"/>
  <c r="O20" i="2"/>
  <c r="O19" i="2"/>
  <c r="O11" i="2"/>
  <c r="O12" i="2"/>
  <c r="O13" i="2" l="1"/>
  <c r="O14" i="2"/>
  <c r="O15" i="2"/>
  <c r="O16" i="2"/>
  <c r="G14" i="126" l="1"/>
  <c r="B18" i="129"/>
  <c r="G16" i="126"/>
  <c r="G15" i="126"/>
  <c r="G13" i="126"/>
  <c r="G12" i="126"/>
  <c r="G11" i="126"/>
  <c r="G10" i="126"/>
  <c r="D39" i="125"/>
  <c r="D75" i="128" l="1"/>
  <c r="B43" i="129" l="1"/>
  <c r="K15" i="127" l="1"/>
  <c r="E15" i="127"/>
  <c r="J69" i="120" l="1"/>
  <c r="D69" i="120" l="1"/>
  <c r="C16" i="126" l="1"/>
  <c r="D16" i="126"/>
  <c r="D18" i="125"/>
  <c r="D20" i="125" l="1"/>
  <c r="C18" i="125"/>
  <c r="D67" i="120" l="1"/>
  <c r="J21" i="120"/>
  <c r="J12" i="120"/>
  <c r="J10" i="120"/>
  <c r="D21" i="120"/>
  <c r="D11" i="120"/>
  <c r="C20" i="125"/>
  <c r="C10" i="125"/>
  <c r="C11" i="125"/>
  <c r="E173" i="133" l="1"/>
  <c r="E172" i="133"/>
  <c r="E171" i="133"/>
  <c r="E170" i="133"/>
  <c r="E169" i="133"/>
  <c r="E168" i="133"/>
  <c r="E167" i="133"/>
  <c r="E166" i="133"/>
  <c r="E165" i="133"/>
  <c r="E164" i="133"/>
  <c r="E163" i="133"/>
  <c r="E162" i="133"/>
  <c r="E161" i="133"/>
  <c r="E160" i="133"/>
  <c r="E159" i="133"/>
  <c r="E158" i="133"/>
  <c r="E157" i="133"/>
  <c r="E156" i="133"/>
  <c r="E155" i="133"/>
  <c r="E154" i="133"/>
  <c r="E153" i="133"/>
  <c r="E152" i="133"/>
  <c r="E151" i="133"/>
  <c r="E150" i="133"/>
  <c r="E149" i="133"/>
  <c r="E148" i="133"/>
  <c r="E147" i="133"/>
  <c r="E146" i="133"/>
  <c r="E145" i="133"/>
  <c r="E144" i="133"/>
  <c r="E143" i="133"/>
  <c r="E142" i="133"/>
  <c r="E141" i="133"/>
  <c r="E140" i="133"/>
  <c r="E139" i="133"/>
  <c r="E138" i="133"/>
  <c r="E137" i="133"/>
  <c r="E136" i="133"/>
  <c r="E135" i="133"/>
  <c r="E134" i="133"/>
  <c r="E133" i="133"/>
  <c r="E132" i="133"/>
  <c r="E131" i="133"/>
  <c r="E130" i="133"/>
  <c r="E129" i="133"/>
  <c r="E128" i="133"/>
  <c r="E127" i="133"/>
  <c r="E126" i="133"/>
  <c r="E125" i="133"/>
  <c r="E124" i="133"/>
  <c r="E123" i="133"/>
  <c r="E122" i="133"/>
  <c r="E121" i="133"/>
  <c r="E120" i="133"/>
  <c r="E119" i="133"/>
  <c r="E118" i="133"/>
  <c r="E117" i="133"/>
  <c r="E116" i="133"/>
  <c r="E115" i="133"/>
  <c r="E114" i="133"/>
  <c r="E113" i="133"/>
  <c r="E112" i="133"/>
  <c r="E111" i="133"/>
  <c r="E110" i="133"/>
  <c r="E109" i="133"/>
  <c r="E108" i="133"/>
  <c r="E107" i="133"/>
  <c r="E106" i="133"/>
  <c r="E105" i="133"/>
  <c r="E104" i="133"/>
  <c r="E103" i="133"/>
  <c r="E102" i="133"/>
  <c r="E101" i="133"/>
  <c r="E100" i="133"/>
  <c r="E99" i="133"/>
  <c r="E98" i="133"/>
  <c r="P61" i="128"/>
  <c r="P60" i="128"/>
  <c r="P59" i="128"/>
  <c r="P58" i="128"/>
  <c r="P57" i="128"/>
  <c r="P56" i="128"/>
  <c r="P55" i="128"/>
  <c r="P54" i="128"/>
  <c r="P53" i="128"/>
  <c r="P52" i="128"/>
  <c r="P51" i="128"/>
  <c r="P50" i="128"/>
  <c r="P49" i="128"/>
  <c r="P48" i="128"/>
  <c r="P47" i="128"/>
  <c r="P46" i="128"/>
  <c r="P45" i="128"/>
  <c r="P44" i="128"/>
  <c r="P43" i="128"/>
  <c r="P42" i="128"/>
  <c r="P41" i="128"/>
  <c r="P40" i="128"/>
  <c r="P39" i="128"/>
  <c r="P38" i="128"/>
  <c r="P37" i="128"/>
  <c r="M61" i="128"/>
  <c r="M60" i="128"/>
  <c r="M59" i="128"/>
  <c r="M58" i="128"/>
  <c r="M57" i="128"/>
  <c r="M56" i="128"/>
  <c r="M55" i="128"/>
  <c r="M54" i="128"/>
  <c r="M53" i="128"/>
  <c r="M52" i="128"/>
  <c r="M51" i="128"/>
  <c r="M50" i="128"/>
  <c r="M49" i="128"/>
  <c r="M48" i="128"/>
  <c r="M47" i="128"/>
  <c r="M46" i="128"/>
  <c r="M45" i="128"/>
  <c r="M44" i="128"/>
  <c r="M43" i="128"/>
  <c r="M42" i="128"/>
  <c r="M41" i="128"/>
  <c r="M40" i="128"/>
  <c r="M39" i="128"/>
  <c r="M38" i="128"/>
  <c r="M37" i="128"/>
  <c r="G61" i="128"/>
  <c r="G60" i="128"/>
  <c r="G59" i="128"/>
  <c r="G58" i="128"/>
  <c r="G57" i="128"/>
  <c r="G56" i="128"/>
  <c r="G55" i="128"/>
  <c r="G54" i="128"/>
  <c r="G53" i="128"/>
  <c r="G52" i="128"/>
  <c r="G51" i="128"/>
  <c r="G50" i="128"/>
  <c r="G49" i="128"/>
  <c r="G48" i="128"/>
  <c r="G47" i="128"/>
  <c r="G46" i="128"/>
  <c r="G45" i="128"/>
  <c r="G44" i="128"/>
  <c r="G43" i="128"/>
  <c r="G42" i="128"/>
  <c r="G41" i="128"/>
  <c r="G40" i="128"/>
  <c r="G39" i="128"/>
  <c r="G38" i="128"/>
  <c r="G37" i="128"/>
  <c r="O53" i="121"/>
  <c r="O52" i="121"/>
  <c r="O51" i="121"/>
  <c r="O50" i="121"/>
  <c r="O49" i="121"/>
  <c r="O48" i="121"/>
  <c r="O47" i="121"/>
  <c r="O46" i="121"/>
  <c r="O45" i="121"/>
  <c r="O44" i="121"/>
  <c r="O43" i="121"/>
  <c r="O42" i="121"/>
  <c r="O41" i="121"/>
  <c r="O40" i="121"/>
  <c r="O39" i="121"/>
  <c r="M53" i="121"/>
  <c r="M52" i="121"/>
  <c r="M51" i="121"/>
  <c r="M50" i="121"/>
  <c r="M49" i="121"/>
  <c r="M48" i="121"/>
  <c r="M47" i="121"/>
  <c r="M46" i="121"/>
  <c r="M45" i="121"/>
  <c r="M44" i="121"/>
  <c r="M43" i="121"/>
  <c r="M42" i="121"/>
  <c r="M41" i="121"/>
  <c r="M40" i="121"/>
  <c r="M39" i="121"/>
  <c r="L53" i="121"/>
  <c r="L52" i="121"/>
  <c r="L51" i="121"/>
  <c r="L50" i="121"/>
  <c r="L49" i="121"/>
  <c r="L48" i="121"/>
  <c r="L47" i="121"/>
  <c r="L46" i="121"/>
  <c r="L45" i="121"/>
  <c r="L44" i="121"/>
  <c r="L43" i="121"/>
  <c r="L42" i="121"/>
  <c r="L41" i="121"/>
  <c r="L40" i="121"/>
  <c r="L39" i="121"/>
  <c r="D53" i="121"/>
  <c r="G53" i="121" s="1"/>
  <c r="D52" i="121"/>
  <c r="F52" i="121" s="1"/>
  <c r="D51" i="121"/>
  <c r="F51" i="121" s="1"/>
  <c r="D50" i="121"/>
  <c r="G50" i="121" s="1"/>
  <c r="D49" i="121"/>
  <c r="G49" i="121" s="1"/>
  <c r="D48" i="121"/>
  <c r="G48" i="121" s="1"/>
  <c r="D47" i="121"/>
  <c r="F47" i="121" s="1"/>
  <c r="D46" i="121"/>
  <c r="G46" i="121" s="1"/>
  <c r="D45" i="121"/>
  <c r="G45" i="121" s="1"/>
  <c r="D44" i="121"/>
  <c r="F44" i="121" s="1"/>
  <c r="D43" i="121"/>
  <c r="F43" i="121" s="1"/>
  <c r="D42" i="121"/>
  <c r="F42" i="121" s="1"/>
  <c r="D41" i="121"/>
  <c r="G41" i="121" s="1"/>
  <c r="D40" i="121"/>
  <c r="F40" i="121" s="1"/>
  <c r="D39" i="121"/>
  <c r="G39" i="121" s="1"/>
  <c r="O54" i="120"/>
  <c r="O53" i="120"/>
  <c r="O52" i="120"/>
  <c r="O51" i="120"/>
  <c r="O50" i="120"/>
  <c r="O49" i="120"/>
  <c r="O48" i="120"/>
  <c r="O47" i="120"/>
  <c r="O46" i="120"/>
  <c r="O45" i="120"/>
  <c r="O44" i="120"/>
  <c r="O43" i="120"/>
  <c r="O42" i="120"/>
  <c r="O41" i="120"/>
  <c r="O40" i="120"/>
  <c r="L54" i="120"/>
  <c r="L53" i="120"/>
  <c r="L52" i="120"/>
  <c r="L51" i="120"/>
  <c r="L50" i="120"/>
  <c r="L49" i="120"/>
  <c r="L48" i="120"/>
  <c r="L47" i="120"/>
  <c r="L46" i="120"/>
  <c r="L45" i="120"/>
  <c r="L44" i="120"/>
  <c r="L43" i="120"/>
  <c r="L42" i="120"/>
  <c r="L41" i="120"/>
  <c r="L40" i="120"/>
  <c r="K54" i="120"/>
  <c r="K53" i="120"/>
  <c r="K52" i="120"/>
  <c r="K51" i="120"/>
  <c r="K50" i="120"/>
  <c r="K49" i="120"/>
  <c r="K48" i="120"/>
  <c r="K47" i="120"/>
  <c r="K46" i="120"/>
  <c r="K45" i="120"/>
  <c r="K44" i="120"/>
  <c r="K43" i="120"/>
  <c r="K42" i="120"/>
  <c r="K41" i="120"/>
  <c r="K40" i="120"/>
  <c r="F54" i="120"/>
  <c r="F53" i="120"/>
  <c r="F52" i="120"/>
  <c r="F51" i="120"/>
  <c r="F50" i="120"/>
  <c r="F49" i="120"/>
  <c r="F48" i="120"/>
  <c r="F47" i="120"/>
  <c r="F46" i="120"/>
  <c r="F45" i="120"/>
  <c r="F44" i="120"/>
  <c r="F43" i="120"/>
  <c r="F42" i="120"/>
  <c r="F41" i="120"/>
  <c r="F40" i="120"/>
  <c r="E54" i="120"/>
  <c r="E53" i="120"/>
  <c r="E52" i="120"/>
  <c r="E51" i="120"/>
  <c r="E50" i="120"/>
  <c r="E49" i="120"/>
  <c r="E48" i="120"/>
  <c r="E47" i="120"/>
  <c r="E46" i="120"/>
  <c r="E45" i="120"/>
  <c r="E44" i="120"/>
  <c r="E43" i="120"/>
  <c r="E42" i="120"/>
  <c r="E41" i="120"/>
  <c r="E40" i="120"/>
  <c r="E15" i="132"/>
  <c r="J100" i="128"/>
  <c r="J99" i="128"/>
  <c r="J98" i="128"/>
  <c r="G100" i="128"/>
  <c r="G99" i="128"/>
  <c r="G98" i="128"/>
  <c r="J93" i="128"/>
  <c r="J92" i="128"/>
  <c r="J91" i="128"/>
  <c r="G93" i="128"/>
  <c r="G92" i="128"/>
  <c r="G91" i="128"/>
  <c r="J88" i="128"/>
  <c r="G88" i="128"/>
  <c r="U109" i="126"/>
  <c r="U108" i="126"/>
  <c r="U107" i="126"/>
  <c r="U106" i="126"/>
  <c r="U105" i="126"/>
  <c r="U104" i="126"/>
  <c r="U103" i="126"/>
  <c r="U102" i="126"/>
  <c r="U101" i="126"/>
  <c r="U100" i="126"/>
  <c r="U99" i="126"/>
  <c r="U98" i="126"/>
  <c r="U97" i="126"/>
  <c r="U96" i="126"/>
  <c r="U95" i="126"/>
  <c r="U94" i="126"/>
  <c r="U93" i="126"/>
  <c r="U92" i="126"/>
  <c r="U91" i="126"/>
  <c r="U90" i="126"/>
  <c r="U89" i="126"/>
  <c r="U88" i="126"/>
  <c r="U87" i="126"/>
  <c r="U86" i="126"/>
  <c r="U85" i="126"/>
  <c r="U84" i="126"/>
  <c r="U83" i="126"/>
  <c r="U82" i="126"/>
  <c r="U81" i="126"/>
  <c r="U80" i="126"/>
  <c r="U79" i="126"/>
  <c r="U78" i="126"/>
  <c r="U77" i="126"/>
  <c r="U76" i="126"/>
  <c r="U75" i="126"/>
  <c r="U74" i="126"/>
  <c r="U73" i="126"/>
  <c r="U72" i="126"/>
  <c r="U71" i="126"/>
  <c r="U70" i="126"/>
  <c r="U69" i="126"/>
  <c r="U68" i="126"/>
  <c r="U67" i="126"/>
  <c r="U66" i="126"/>
  <c r="U65" i="126"/>
  <c r="U64" i="126"/>
  <c r="U63" i="126"/>
  <c r="U62" i="126"/>
  <c r="U61" i="126"/>
  <c r="U60" i="126"/>
  <c r="U59" i="126"/>
  <c r="U58" i="126"/>
  <c r="U57" i="126"/>
  <c r="U56" i="126"/>
  <c r="U55" i="126"/>
  <c r="U54" i="126"/>
  <c r="U53" i="126"/>
  <c r="U52" i="126"/>
  <c r="U51" i="126"/>
  <c r="U50" i="126"/>
  <c r="U49" i="126"/>
  <c r="U48" i="126"/>
  <c r="U47" i="126"/>
  <c r="U46" i="126"/>
  <c r="U45" i="126"/>
  <c r="U44" i="126"/>
  <c r="U43" i="126"/>
  <c r="U42" i="126"/>
  <c r="U41" i="126"/>
  <c r="U40" i="126"/>
  <c r="U39" i="126"/>
  <c r="U38" i="126"/>
  <c r="U37" i="126"/>
  <c r="U36" i="126"/>
  <c r="U35" i="126"/>
  <c r="U34" i="126"/>
  <c r="U33" i="126"/>
  <c r="U32" i="126"/>
  <c r="U31" i="126"/>
  <c r="U30" i="126"/>
  <c r="U29" i="126"/>
  <c r="U28" i="126"/>
  <c r="U27" i="126"/>
  <c r="U26" i="126"/>
  <c r="U25" i="126"/>
  <c r="U24" i="126"/>
  <c r="U23" i="126"/>
  <c r="U22" i="126"/>
  <c r="U21" i="126"/>
  <c r="U20" i="126"/>
  <c r="U19" i="126"/>
  <c r="U18" i="126"/>
  <c r="U17" i="126"/>
  <c r="U16" i="126"/>
  <c r="U15" i="126"/>
  <c r="U14" i="126"/>
  <c r="U13" i="126"/>
  <c r="U12" i="126"/>
  <c r="U11" i="126"/>
  <c r="U10" i="126"/>
  <c r="H109" i="126"/>
  <c r="M109" i="126" s="1"/>
  <c r="P109" i="126" s="1"/>
  <c r="H108" i="126"/>
  <c r="J108" i="126" s="1"/>
  <c r="H107" i="126"/>
  <c r="M107" i="126" s="1"/>
  <c r="P107" i="126" s="1"/>
  <c r="H106" i="126"/>
  <c r="M106" i="126" s="1"/>
  <c r="P106" i="126" s="1"/>
  <c r="H105" i="126"/>
  <c r="M105" i="126" s="1"/>
  <c r="P105" i="126" s="1"/>
  <c r="H104" i="126"/>
  <c r="J104" i="126" s="1"/>
  <c r="H103" i="126"/>
  <c r="M103" i="126" s="1"/>
  <c r="P103" i="126" s="1"/>
  <c r="H102" i="126"/>
  <c r="M102" i="126" s="1"/>
  <c r="P102" i="126" s="1"/>
  <c r="H101" i="126"/>
  <c r="M101" i="126" s="1"/>
  <c r="P101" i="126" s="1"/>
  <c r="H100" i="126"/>
  <c r="J100" i="126" s="1"/>
  <c r="H99" i="126"/>
  <c r="M99" i="126" s="1"/>
  <c r="P99" i="126" s="1"/>
  <c r="H98" i="126"/>
  <c r="M98" i="126" s="1"/>
  <c r="P98" i="126" s="1"/>
  <c r="H97" i="126"/>
  <c r="M97" i="126" s="1"/>
  <c r="P97" i="126" s="1"/>
  <c r="H96" i="126"/>
  <c r="M96" i="126" s="1"/>
  <c r="P96" i="126" s="1"/>
  <c r="H95" i="126"/>
  <c r="M95" i="126" s="1"/>
  <c r="P95" i="126" s="1"/>
  <c r="H94" i="126"/>
  <c r="M94" i="126" s="1"/>
  <c r="P94" i="126" s="1"/>
  <c r="H93" i="126"/>
  <c r="M93" i="126" s="1"/>
  <c r="P93" i="126" s="1"/>
  <c r="H92" i="126"/>
  <c r="J92" i="126" s="1"/>
  <c r="H91" i="126"/>
  <c r="M91" i="126" s="1"/>
  <c r="P91" i="126" s="1"/>
  <c r="H90" i="126"/>
  <c r="M90" i="126" s="1"/>
  <c r="P90" i="126" s="1"/>
  <c r="H89" i="126"/>
  <c r="M89" i="126" s="1"/>
  <c r="P89" i="126" s="1"/>
  <c r="H88" i="126"/>
  <c r="J88" i="126" s="1"/>
  <c r="H87" i="126"/>
  <c r="M87" i="126" s="1"/>
  <c r="P87" i="126" s="1"/>
  <c r="H86" i="126"/>
  <c r="M86" i="126" s="1"/>
  <c r="P86" i="126" s="1"/>
  <c r="H85" i="126"/>
  <c r="M85" i="126" s="1"/>
  <c r="P85" i="126" s="1"/>
  <c r="H84" i="126"/>
  <c r="M84" i="126" s="1"/>
  <c r="P84" i="126" s="1"/>
  <c r="H83" i="126"/>
  <c r="M83" i="126" s="1"/>
  <c r="P83" i="126" s="1"/>
  <c r="H82" i="126"/>
  <c r="M82" i="126" s="1"/>
  <c r="P82" i="126" s="1"/>
  <c r="H81" i="126"/>
  <c r="M81" i="126" s="1"/>
  <c r="P81" i="126" s="1"/>
  <c r="H80" i="126"/>
  <c r="M80" i="126" s="1"/>
  <c r="P80" i="126" s="1"/>
  <c r="H79" i="126"/>
  <c r="M79" i="126" s="1"/>
  <c r="P79" i="126" s="1"/>
  <c r="H78" i="126"/>
  <c r="M78" i="126" s="1"/>
  <c r="P78" i="126" s="1"/>
  <c r="H77" i="126"/>
  <c r="M77" i="126" s="1"/>
  <c r="P77" i="126" s="1"/>
  <c r="H76" i="126"/>
  <c r="J76" i="126" s="1"/>
  <c r="H75" i="126"/>
  <c r="M75" i="126" s="1"/>
  <c r="P75" i="126" s="1"/>
  <c r="H74" i="126"/>
  <c r="M74" i="126" s="1"/>
  <c r="P74" i="126" s="1"/>
  <c r="H73" i="126"/>
  <c r="M73" i="126" s="1"/>
  <c r="P73" i="126" s="1"/>
  <c r="H72" i="126"/>
  <c r="J72" i="126" s="1"/>
  <c r="H71" i="126"/>
  <c r="M71" i="126" s="1"/>
  <c r="P71" i="126" s="1"/>
  <c r="H70" i="126"/>
  <c r="M70" i="126" s="1"/>
  <c r="P70" i="126" s="1"/>
  <c r="H69" i="126"/>
  <c r="M69" i="126" s="1"/>
  <c r="P69" i="126" s="1"/>
  <c r="H68" i="126"/>
  <c r="M68" i="126" s="1"/>
  <c r="P68" i="126" s="1"/>
  <c r="H67" i="126"/>
  <c r="M67" i="126" s="1"/>
  <c r="P67" i="126" s="1"/>
  <c r="H66" i="126"/>
  <c r="M66" i="126" s="1"/>
  <c r="P66" i="126" s="1"/>
  <c r="H65" i="126"/>
  <c r="M65" i="126" s="1"/>
  <c r="P65" i="126" s="1"/>
  <c r="H64" i="126"/>
  <c r="M64" i="126" s="1"/>
  <c r="P64" i="126" s="1"/>
  <c r="H63" i="126"/>
  <c r="M63" i="126" s="1"/>
  <c r="P63" i="126" s="1"/>
  <c r="H62" i="126"/>
  <c r="M62" i="126" s="1"/>
  <c r="P62" i="126" s="1"/>
  <c r="H61" i="126"/>
  <c r="M61" i="126" s="1"/>
  <c r="P61" i="126" s="1"/>
  <c r="H60" i="126"/>
  <c r="J60" i="126" s="1"/>
  <c r="H59" i="126"/>
  <c r="M59" i="126" s="1"/>
  <c r="P59" i="126" s="1"/>
  <c r="H58" i="126"/>
  <c r="M58" i="126" s="1"/>
  <c r="P58" i="126" s="1"/>
  <c r="H57" i="126"/>
  <c r="M57" i="126" s="1"/>
  <c r="P57" i="126" s="1"/>
  <c r="H56" i="126"/>
  <c r="J56" i="126" s="1"/>
  <c r="H55" i="126"/>
  <c r="M55" i="126" s="1"/>
  <c r="P55" i="126" s="1"/>
  <c r="H54" i="126"/>
  <c r="M54" i="126" s="1"/>
  <c r="P54" i="126" s="1"/>
  <c r="H53" i="126"/>
  <c r="M53" i="126" s="1"/>
  <c r="P53" i="126" s="1"/>
  <c r="H52" i="126"/>
  <c r="M52" i="126" s="1"/>
  <c r="P52" i="126" s="1"/>
  <c r="H51" i="126"/>
  <c r="M51" i="126" s="1"/>
  <c r="P51" i="126" s="1"/>
  <c r="H50" i="126"/>
  <c r="M50" i="126" s="1"/>
  <c r="P50" i="126" s="1"/>
  <c r="H49" i="126"/>
  <c r="M49" i="126" s="1"/>
  <c r="P49" i="126" s="1"/>
  <c r="H48" i="126"/>
  <c r="M48" i="126" s="1"/>
  <c r="P48" i="126" s="1"/>
  <c r="H47" i="126"/>
  <c r="M47" i="126" s="1"/>
  <c r="P47" i="126" s="1"/>
  <c r="H46" i="126"/>
  <c r="M46" i="126" s="1"/>
  <c r="P46" i="126" s="1"/>
  <c r="H45" i="126"/>
  <c r="M45" i="126" s="1"/>
  <c r="P45" i="126" s="1"/>
  <c r="H44" i="126"/>
  <c r="J44" i="126" s="1"/>
  <c r="H43" i="126"/>
  <c r="M43" i="126" s="1"/>
  <c r="P43" i="126" s="1"/>
  <c r="H42" i="126"/>
  <c r="M42" i="126" s="1"/>
  <c r="P42" i="126" s="1"/>
  <c r="H41" i="126"/>
  <c r="M41" i="126" s="1"/>
  <c r="P41" i="126" s="1"/>
  <c r="H40" i="126"/>
  <c r="M40" i="126" s="1"/>
  <c r="P40" i="126" s="1"/>
  <c r="H39" i="126"/>
  <c r="M39" i="126" s="1"/>
  <c r="P39" i="126" s="1"/>
  <c r="H38" i="126"/>
  <c r="M38" i="126" s="1"/>
  <c r="P38" i="126" s="1"/>
  <c r="H37" i="126"/>
  <c r="M37" i="126" s="1"/>
  <c r="P37" i="126" s="1"/>
  <c r="H36" i="126"/>
  <c r="M36" i="126" s="1"/>
  <c r="P36" i="126" s="1"/>
  <c r="H35" i="126"/>
  <c r="M35" i="126" s="1"/>
  <c r="P35" i="126" s="1"/>
  <c r="H34" i="126"/>
  <c r="M34" i="126" s="1"/>
  <c r="P34" i="126" s="1"/>
  <c r="H33" i="126"/>
  <c r="M33" i="126" s="1"/>
  <c r="P33" i="126" s="1"/>
  <c r="H32" i="126"/>
  <c r="M32" i="126" s="1"/>
  <c r="P32" i="126" s="1"/>
  <c r="H31" i="126"/>
  <c r="M31" i="126" s="1"/>
  <c r="P31" i="126" s="1"/>
  <c r="H30" i="126"/>
  <c r="M30" i="126" s="1"/>
  <c r="P30" i="126" s="1"/>
  <c r="H29" i="126"/>
  <c r="M29" i="126" s="1"/>
  <c r="P29" i="126" s="1"/>
  <c r="H28" i="126"/>
  <c r="J28" i="126" s="1"/>
  <c r="H27" i="126"/>
  <c r="M27" i="126" s="1"/>
  <c r="P27" i="126" s="1"/>
  <c r="H26" i="126"/>
  <c r="J26" i="126" s="1"/>
  <c r="H25" i="126"/>
  <c r="M25" i="126" s="1"/>
  <c r="P25" i="126" s="1"/>
  <c r="H24" i="126"/>
  <c r="J24" i="126" s="1"/>
  <c r="H23" i="126"/>
  <c r="M23" i="126" s="1"/>
  <c r="P23" i="126" s="1"/>
  <c r="H22" i="126"/>
  <c r="J22" i="126" s="1"/>
  <c r="H21" i="126"/>
  <c r="M21" i="126" s="1"/>
  <c r="P21" i="126" s="1"/>
  <c r="H20" i="126"/>
  <c r="M20" i="126" s="1"/>
  <c r="P20" i="126" s="1"/>
  <c r="H19" i="126"/>
  <c r="J19" i="126" s="1"/>
  <c r="H18" i="126"/>
  <c r="M18" i="126" s="1"/>
  <c r="P18" i="126" s="1"/>
  <c r="H17" i="126"/>
  <c r="J17" i="126" s="1"/>
  <c r="H16" i="126"/>
  <c r="M16" i="126" s="1"/>
  <c r="P16" i="126" s="1"/>
  <c r="H15" i="126"/>
  <c r="M15" i="126" s="1"/>
  <c r="P15" i="126" s="1"/>
  <c r="H14" i="126"/>
  <c r="M14" i="126" s="1"/>
  <c r="P14" i="126" s="1"/>
  <c r="H13" i="126"/>
  <c r="J13" i="126" s="1"/>
  <c r="H12" i="126"/>
  <c r="M12" i="126" s="1"/>
  <c r="P12" i="126" s="1"/>
  <c r="H11" i="126"/>
  <c r="M11" i="126" s="1"/>
  <c r="P11" i="126" s="1"/>
  <c r="H10" i="126"/>
  <c r="M10" i="126" s="1"/>
  <c r="P10" i="126" s="1"/>
  <c r="M75" i="128"/>
  <c r="M74" i="128"/>
  <c r="M73" i="128"/>
  <c r="M72" i="128"/>
  <c r="M71" i="128"/>
  <c r="M70" i="128"/>
  <c r="M69" i="128"/>
  <c r="M68" i="128"/>
  <c r="G75" i="128"/>
  <c r="G74" i="128"/>
  <c r="G73" i="128"/>
  <c r="G72" i="128"/>
  <c r="G71" i="128"/>
  <c r="G70" i="128"/>
  <c r="G69" i="128"/>
  <c r="G68" i="128"/>
  <c r="M34" i="128"/>
  <c r="M33" i="128"/>
  <c r="M32" i="128"/>
  <c r="M31" i="128"/>
  <c r="M30" i="128"/>
  <c r="G34" i="128"/>
  <c r="G33" i="128"/>
  <c r="G32" i="128"/>
  <c r="G31" i="128"/>
  <c r="G30" i="128"/>
  <c r="M22" i="128"/>
  <c r="M21" i="128"/>
  <c r="M20" i="128"/>
  <c r="M19" i="128"/>
  <c r="M18" i="128"/>
  <c r="M17" i="128"/>
  <c r="M16" i="128"/>
  <c r="M15" i="128"/>
  <c r="M14" i="128"/>
  <c r="M13" i="128"/>
  <c r="M12" i="128"/>
  <c r="M11" i="128"/>
  <c r="M10" i="128"/>
  <c r="G22" i="128"/>
  <c r="G21" i="128"/>
  <c r="G20" i="128"/>
  <c r="G19" i="128"/>
  <c r="G18" i="128"/>
  <c r="G17" i="128"/>
  <c r="G16" i="128"/>
  <c r="G15" i="128"/>
  <c r="G14" i="128"/>
  <c r="G13" i="128"/>
  <c r="G12" i="128"/>
  <c r="G11" i="128"/>
  <c r="G10" i="128"/>
  <c r="H40" i="131"/>
  <c r="H39" i="131"/>
  <c r="H38" i="131"/>
  <c r="H37" i="131"/>
  <c r="H36" i="131"/>
  <c r="H35" i="131"/>
  <c r="H34" i="131"/>
  <c r="H33" i="131"/>
  <c r="H32" i="131"/>
  <c r="H31" i="131"/>
  <c r="H30" i="131"/>
  <c r="H29" i="131"/>
  <c r="H28" i="131"/>
  <c r="H27" i="131"/>
  <c r="H26" i="131"/>
  <c r="H25" i="131"/>
  <c r="H24" i="131"/>
  <c r="H23" i="131"/>
  <c r="H22" i="131"/>
  <c r="H21" i="131"/>
  <c r="H20" i="131"/>
  <c r="H19" i="131"/>
  <c r="H18" i="131"/>
  <c r="H17" i="131"/>
  <c r="H16" i="131"/>
  <c r="H15" i="131"/>
  <c r="H14" i="131"/>
  <c r="H13" i="131"/>
  <c r="H12" i="131"/>
  <c r="H11" i="131"/>
  <c r="H10" i="131"/>
  <c r="H9" i="131"/>
  <c r="H8" i="131"/>
  <c r="H7" i="131"/>
  <c r="H6" i="131"/>
  <c r="H5" i="131"/>
  <c r="G40" i="131"/>
  <c r="G39" i="131"/>
  <c r="G38" i="131"/>
  <c r="G37" i="131"/>
  <c r="G36" i="131"/>
  <c r="G32" i="131"/>
  <c r="G30" i="131"/>
  <c r="G29" i="131"/>
  <c r="G28" i="131"/>
  <c r="G27" i="131"/>
  <c r="G26" i="131"/>
  <c r="G25" i="131"/>
  <c r="G21" i="131"/>
  <c r="G20" i="131"/>
  <c r="G19" i="131"/>
  <c r="G18" i="131"/>
  <c r="G17" i="131"/>
  <c r="G15" i="131"/>
  <c r="G14" i="131"/>
  <c r="G12" i="131"/>
  <c r="G10" i="131"/>
  <c r="G9" i="131"/>
  <c r="G8" i="131"/>
  <c r="G7" i="131"/>
  <c r="G6" i="131"/>
  <c r="G5" i="131"/>
  <c r="F40" i="131"/>
  <c r="F39" i="131"/>
  <c r="F38" i="131"/>
  <c r="F37" i="131"/>
  <c r="F35" i="131"/>
  <c r="F32" i="131"/>
  <c r="F30" i="131"/>
  <c r="F29" i="131"/>
  <c r="F28" i="131"/>
  <c r="F27" i="131"/>
  <c r="F26" i="131"/>
  <c r="F25" i="131"/>
  <c r="F23" i="131"/>
  <c r="F22" i="131"/>
  <c r="F21" i="131"/>
  <c r="F20" i="131"/>
  <c r="F19" i="131"/>
  <c r="F18" i="131"/>
  <c r="F17" i="131"/>
  <c r="F15" i="131"/>
  <c r="F14" i="131"/>
  <c r="F12" i="131"/>
  <c r="F10" i="131"/>
  <c r="F9" i="131"/>
  <c r="F8" i="131"/>
  <c r="F7" i="131"/>
  <c r="F6" i="131"/>
  <c r="F5" i="131"/>
  <c r="E40" i="131"/>
  <c r="E39" i="131"/>
  <c r="E38" i="131"/>
  <c r="E37" i="131"/>
  <c r="E36" i="131"/>
  <c r="E35" i="131"/>
  <c r="E34" i="131"/>
  <c r="E33" i="131"/>
  <c r="E32" i="131"/>
  <c r="E31" i="131"/>
  <c r="E30" i="131"/>
  <c r="E29" i="131"/>
  <c r="E28" i="131"/>
  <c r="E27" i="131"/>
  <c r="E26" i="131"/>
  <c r="E25" i="131"/>
  <c r="E24" i="131"/>
  <c r="E23" i="131"/>
  <c r="E22" i="131"/>
  <c r="E21" i="131"/>
  <c r="E20" i="131"/>
  <c r="E19" i="131"/>
  <c r="E18" i="131"/>
  <c r="E17" i="131"/>
  <c r="E16" i="131"/>
  <c r="E15" i="131"/>
  <c r="E14" i="131"/>
  <c r="E13" i="131"/>
  <c r="E12" i="131"/>
  <c r="E11" i="131"/>
  <c r="E10" i="131"/>
  <c r="E9" i="131"/>
  <c r="E8" i="131"/>
  <c r="E7" i="131"/>
  <c r="E6" i="131"/>
  <c r="E5" i="131"/>
  <c r="D40" i="131"/>
  <c r="D39" i="131"/>
  <c r="D38" i="131"/>
  <c r="D37" i="131"/>
  <c r="D32" i="131"/>
  <c r="D30" i="131"/>
  <c r="D29" i="131"/>
  <c r="D28" i="131"/>
  <c r="D27" i="131"/>
  <c r="D26" i="131"/>
  <c r="D25" i="131"/>
  <c r="D21" i="131"/>
  <c r="D20" i="131"/>
  <c r="D19" i="131"/>
  <c r="D18" i="131"/>
  <c r="D17" i="131"/>
  <c r="D15" i="131"/>
  <c r="D14" i="131"/>
  <c r="D12" i="131"/>
  <c r="D10" i="131"/>
  <c r="D9" i="131"/>
  <c r="D8" i="131"/>
  <c r="D7" i="131"/>
  <c r="D6" i="131"/>
  <c r="D5" i="131"/>
  <c r="C40" i="131"/>
  <c r="C39" i="131"/>
  <c r="C38" i="131"/>
  <c r="C37" i="131"/>
  <c r="C35" i="131"/>
  <c r="C32" i="131"/>
  <c r="C30" i="131"/>
  <c r="C29" i="131"/>
  <c r="C28" i="131"/>
  <c r="C27" i="131"/>
  <c r="C26" i="131"/>
  <c r="C25" i="131"/>
  <c r="C23" i="131"/>
  <c r="C22" i="131"/>
  <c r="C21" i="131"/>
  <c r="C20" i="131"/>
  <c r="C19" i="131"/>
  <c r="C18" i="131"/>
  <c r="C17" i="131"/>
  <c r="C15" i="131"/>
  <c r="C14" i="131"/>
  <c r="C12" i="131"/>
  <c r="C10" i="131"/>
  <c r="C9" i="131"/>
  <c r="C8" i="131"/>
  <c r="C7" i="131"/>
  <c r="C6" i="131"/>
  <c r="C5" i="131"/>
  <c r="M68" i="121"/>
  <c r="M67" i="121"/>
  <c r="M66" i="121"/>
  <c r="M65" i="121"/>
  <c r="M64" i="121"/>
  <c r="M63" i="121"/>
  <c r="M62" i="121"/>
  <c r="M61" i="121"/>
  <c r="L68" i="121"/>
  <c r="L67" i="121"/>
  <c r="L66" i="121"/>
  <c r="L65" i="121"/>
  <c r="L64" i="121"/>
  <c r="L63" i="121"/>
  <c r="L62" i="121"/>
  <c r="L61" i="121"/>
  <c r="D68" i="121"/>
  <c r="G68" i="121" s="1"/>
  <c r="D67" i="121"/>
  <c r="G67" i="121" s="1"/>
  <c r="D66" i="121"/>
  <c r="G66" i="121" s="1"/>
  <c r="D65" i="121"/>
  <c r="G65" i="121" s="1"/>
  <c r="D64" i="121"/>
  <c r="G64" i="121" s="1"/>
  <c r="D63" i="121"/>
  <c r="G63" i="121" s="1"/>
  <c r="D62" i="121"/>
  <c r="G62" i="121" s="1"/>
  <c r="D61" i="121"/>
  <c r="G61" i="121" s="1"/>
  <c r="M36" i="121"/>
  <c r="M35" i="121"/>
  <c r="M34" i="121"/>
  <c r="M33" i="121"/>
  <c r="M32" i="121"/>
  <c r="L36" i="121"/>
  <c r="L35" i="121"/>
  <c r="L34" i="121"/>
  <c r="L33" i="121"/>
  <c r="L32" i="121"/>
  <c r="D36" i="121"/>
  <c r="G36" i="121" s="1"/>
  <c r="D35" i="121"/>
  <c r="G35" i="121" s="1"/>
  <c r="D34" i="121"/>
  <c r="F34" i="121" s="1"/>
  <c r="D33" i="121"/>
  <c r="G33" i="121" s="1"/>
  <c r="D32" i="121"/>
  <c r="G32" i="121" s="1"/>
  <c r="M20" i="121"/>
  <c r="M19" i="121"/>
  <c r="M18" i="121"/>
  <c r="M17" i="121"/>
  <c r="M16" i="121"/>
  <c r="M15" i="121"/>
  <c r="M14" i="121"/>
  <c r="M13" i="121"/>
  <c r="M12" i="121"/>
  <c r="M11" i="121"/>
  <c r="M10" i="121"/>
  <c r="M9" i="121"/>
  <c r="M8" i="121"/>
  <c r="L20" i="121"/>
  <c r="L19" i="121"/>
  <c r="L18" i="121"/>
  <c r="L17" i="121"/>
  <c r="L16" i="121"/>
  <c r="L15" i="121"/>
  <c r="L14" i="121"/>
  <c r="L13" i="121"/>
  <c r="L12" i="121"/>
  <c r="L11" i="121"/>
  <c r="L10" i="121"/>
  <c r="L9" i="121"/>
  <c r="L8" i="121"/>
  <c r="D20" i="121"/>
  <c r="G20" i="121" s="1"/>
  <c r="D19" i="121"/>
  <c r="G19" i="121" s="1"/>
  <c r="D18" i="121"/>
  <c r="G18" i="121" s="1"/>
  <c r="D17" i="121"/>
  <c r="G17" i="121" s="1"/>
  <c r="D16" i="121"/>
  <c r="G16" i="121" s="1"/>
  <c r="D15" i="121"/>
  <c r="F15" i="121" s="1"/>
  <c r="D14" i="121"/>
  <c r="G14" i="121" s="1"/>
  <c r="D13" i="121"/>
  <c r="F13" i="121" s="1"/>
  <c r="D12" i="121"/>
  <c r="G12" i="121" s="1"/>
  <c r="D11" i="121"/>
  <c r="G11" i="121" s="1"/>
  <c r="D10" i="121"/>
  <c r="G10" i="121" s="1"/>
  <c r="D9" i="121"/>
  <c r="G9" i="121" s="1"/>
  <c r="D8" i="121"/>
  <c r="G8" i="121" s="1"/>
  <c r="L69" i="120"/>
  <c r="L68" i="120"/>
  <c r="L67" i="120"/>
  <c r="L66" i="120"/>
  <c r="L65" i="120"/>
  <c r="L64" i="120"/>
  <c r="L63" i="120"/>
  <c r="L62" i="120"/>
  <c r="K69" i="120"/>
  <c r="K68" i="120"/>
  <c r="K67" i="120"/>
  <c r="K66" i="120"/>
  <c r="K65" i="120"/>
  <c r="K64" i="120"/>
  <c r="K63" i="120"/>
  <c r="K62" i="120"/>
  <c r="F69" i="120"/>
  <c r="F68" i="120"/>
  <c r="F67" i="120"/>
  <c r="F66" i="120"/>
  <c r="F65" i="120"/>
  <c r="F64" i="120"/>
  <c r="F63" i="120"/>
  <c r="F62" i="120"/>
  <c r="E69" i="120"/>
  <c r="E68" i="120"/>
  <c r="E67" i="120"/>
  <c r="E66" i="120"/>
  <c r="E65" i="120"/>
  <c r="E64" i="120"/>
  <c r="E63" i="120"/>
  <c r="E62" i="120"/>
  <c r="L37" i="120"/>
  <c r="L36" i="120"/>
  <c r="L35" i="120"/>
  <c r="L34" i="120"/>
  <c r="L33" i="120"/>
  <c r="K37" i="120"/>
  <c r="K36" i="120"/>
  <c r="K35" i="120"/>
  <c r="K34" i="120"/>
  <c r="K33" i="120"/>
  <c r="F37" i="120"/>
  <c r="F36" i="120"/>
  <c r="F35" i="120"/>
  <c r="F34" i="120"/>
  <c r="F33" i="120"/>
  <c r="E37" i="120"/>
  <c r="E36" i="120"/>
  <c r="E35" i="120"/>
  <c r="E34" i="120"/>
  <c r="E33" i="120"/>
  <c r="L21" i="120"/>
  <c r="L20" i="120"/>
  <c r="L19" i="120"/>
  <c r="L18" i="120"/>
  <c r="L17" i="120"/>
  <c r="L16" i="120"/>
  <c r="L15" i="120"/>
  <c r="L14" i="120"/>
  <c r="L13" i="120"/>
  <c r="L12" i="120"/>
  <c r="L11" i="120"/>
  <c r="L10" i="120"/>
  <c r="L9" i="120"/>
  <c r="K21" i="120"/>
  <c r="K20" i="120"/>
  <c r="K19" i="120"/>
  <c r="K18" i="120"/>
  <c r="K17" i="120"/>
  <c r="K16" i="120"/>
  <c r="K15" i="120"/>
  <c r="K14" i="120"/>
  <c r="K13" i="120"/>
  <c r="K12" i="120"/>
  <c r="K11" i="120"/>
  <c r="K10" i="120"/>
  <c r="K9" i="120"/>
  <c r="F21" i="120"/>
  <c r="F20" i="120"/>
  <c r="F19" i="120"/>
  <c r="F18" i="120"/>
  <c r="F17" i="120"/>
  <c r="F16" i="120"/>
  <c r="F15" i="120"/>
  <c r="F14" i="120"/>
  <c r="F13" i="120"/>
  <c r="F12" i="120"/>
  <c r="F11" i="120"/>
  <c r="F10" i="120"/>
  <c r="F9" i="120"/>
  <c r="E21" i="120"/>
  <c r="E20" i="120"/>
  <c r="E19" i="120"/>
  <c r="E18" i="120"/>
  <c r="E17" i="120"/>
  <c r="E16" i="120"/>
  <c r="E15" i="120"/>
  <c r="E14" i="120"/>
  <c r="E13" i="120"/>
  <c r="E12" i="120"/>
  <c r="E11" i="120"/>
  <c r="E10" i="120"/>
  <c r="E9" i="120"/>
  <c r="J14" i="4"/>
  <c r="J13" i="4"/>
  <c r="J12" i="4"/>
  <c r="J11" i="4"/>
  <c r="U24" i="69"/>
  <c r="U23" i="69"/>
  <c r="U22" i="69"/>
  <c r="U21" i="69"/>
  <c r="U20" i="69"/>
  <c r="U19" i="69"/>
  <c r="U18" i="69"/>
  <c r="U17" i="69"/>
  <c r="U16" i="69"/>
  <c r="U15" i="69"/>
  <c r="U14" i="69"/>
  <c r="U13" i="69"/>
  <c r="U12" i="69"/>
  <c r="U11" i="69"/>
  <c r="U10" i="69"/>
  <c r="U9" i="69"/>
  <c r="U8" i="69"/>
  <c r="R24" i="69"/>
  <c r="R23" i="69"/>
  <c r="R22" i="69"/>
  <c r="R21" i="69"/>
  <c r="R20" i="69"/>
  <c r="R19" i="69"/>
  <c r="R18" i="69"/>
  <c r="R17" i="69"/>
  <c r="R16" i="69"/>
  <c r="R15" i="69"/>
  <c r="R14" i="69"/>
  <c r="R13" i="69"/>
  <c r="R12" i="69"/>
  <c r="R11" i="69"/>
  <c r="R10" i="69"/>
  <c r="R9" i="69"/>
  <c r="R8" i="69"/>
  <c r="M24" i="69"/>
  <c r="M23" i="69"/>
  <c r="M22" i="69"/>
  <c r="M21" i="69"/>
  <c r="M20" i="69"/>
  <c r="M19" i="69"/>
  <c r="M18" i="69"/>
  <c r="M17" i="69"/>
  <c r="M16" i="69"/>
  <c r="M15" i="69"/>
  <c r="M14" i="69"/>
  <c r="M13" i="69"/>
  <c r="M12" i="69"/>
  <c r="M11" i="69"/>
  <c r="M10" i="69"/>
  <c r="M9" i="69"/>
  <c r="M8" i="69"/>
  <c r="D24" i="69"/>
  <c r="D23" i="69"/>
  <c r="D22" i="69"/>
  <c r="D21" i="69"/>
  <c r="D20" i="69"/>
  <c r="D19" i="69"/>
  <c r="D18" i="69"/>
  <c r="D17" i="69"/>
  <c r="D16" i="69"/>
  <c r="D15" i="69"/>
  <c r="D14" i="69"/>
  <c r="D13" i="69"/>
  <c r="D12" i="69"/>
  <c r="D11" i="69"/>
  <c r="D10" i="69"/>
  <c r="D9" i="69"/>
  <c r="D8" i="69"/>
  <c r="AB17" i="64"/>
  <c r="AD17" i="64" s="1"/>
  <c r="AB16" i="64"/>
  <c r="AB15" i="64"/>
  <c r="AB14" i="64"/>
  <c r="AB13" i="64"/>
  <c r="AB12" i="64"/>
  <c r="AB11" i="64"/>
  <c r="AA17" i="64"/>
  <c r="AA16" i="64"/>
  <c r="AA15" i="64"/>
  <c r="AC15" i="64" s="1"/>
  <c r="AA14" i="64"/>
  <c r="AA13" i="64"/>
  <c r="AA12" i="64"/>
  <c r="AA11" i="64"/>
  <c r="AC11" i="64" s="1"/>
  <c r="V17" i="64"/>
  <c r="X17" i="64" s="1"/>
  <c r="V16" i="64"/>
  <c r="X16" i="64" s="1"/>
  <c r="V15" i="64"/>
  <c r="X15" i="64" s="1"/>
  <c r="V14" i="64"/>
  <c r="X14" i="64" s="1"/>
  <c r="V13" i="64"/>
  <c r="X13" i="64" s="1"/>
  <c r="V12" i="64"/>
  <c r="X12" i="64" s="1"/>
  <c r="V11" i="64"/>
  <c r="X11" i="64" s="1"/>
  <c r="P17" i="64"/>
  <c r="R17" i="64" s="1"/>
  <c r="P16" i="64"/>
  <c r="R16" i="64" s="1"/>
  <c r="P15" i="64"/>
  <c r="R15" i="64" s="1"/>
  <c r="P14" i="64"/>
  <c r="R14" i="64" s="1"/>
  <c r="P13" i="64"/>
  <c r="R13" i="64" s="1"/>
  <c r="P12" i="64"/>
  <c r="R12" i="64" s="1"/>
  <c r="P11" i="64"/>
  <c r="R11" i="64" s="1"/>
  <c r="O11" i="80"/>
  <c r="O10" i="80"/>
  <c r="V25" i="2"/>
  <c r="V24" i="2"/>
  <c r="V23" i="2"/>
  <c r="V22" i="2"/>
  <c r="V21" i="2"/>
  <c r="V20" i="2"/>
  <c r="V19" i="2"/>
  <c r="O25" i="2"/>
  <c r="O24" i="2"/>
  <c r="O23" i="2"/>
  <c r="O22" i="2"/>
  <c r="O21" i="2"/>
  <c r="V16" i="2"/>
  <c r="V15" i="2"/>
  <c r="V14" i="2"/>
  <c r="V13" i="2"/>
  <c r="V12" i="2"/>
  <c r="V11" i="2"/>
  <c r="V10" i="2"/>
  <c r="O10" i="2"/>
  <c r="G40" i="41"/>
  <c r="G39" i="41"/>
  <c r="G38" i="41"/>
  <c r="G37" i="41"/>
  <c r="G36" i="41"/>
  <c r="G35" i="41"/>
  <c r="G34" i="41"/>
  <c r="G33" i="41"/>
  <c r="G32" i="41"/>
  <c r="G31" i="41"/>
  <c r="G30" i="41"/>
  <c r="G29" i="41"/>
  <c r="G28" i="41"/>
  <c r="G27" i="41"/>
  <c r="G26" i="41"/>
  <c r="G25" i="41"/>
  <c r="G24" i="41"/>
  <c r="G23" i="41"/>
  <c r="G22" i="41"/>
  <c r="G21" i="41"/>
  <c r="G20" i="41"/>
  <c r="G19" i="41"/>
  <c r="G18" i="41"/>
  <c r="G17" i="41"/>
  <c r="G16" i="41"/>
  <c r="G15" i="41"/>
  <c r="G14" i="41"/>
  <c r="G13" i="41"/>
  <c r="G12" i="41"/>
  <c r="G11" i="41"/>
  <c r="F40" i="41"/>
  <c r="F39" i="41"/>
  <c r="F38" i="41"/>
  <c r="F37" i="41"/>
  <c r="F36" i="41"/>
  <c r="F35" i="41"/>
  <c r="F34" i="41"/>
  <c r="F33" i="41"/>
  <c r="F32" i="41"/>
  <c r="F31" i="41"/>
  <c r="F30" i="41"/>
  <c r="F29" i="41"/>
  <c r="F28" i="41"/>
  <c r="F27" i="41"/>
  <c r="F26" i="41"/>
  <c r="F25" i="41"/>
  <c r="F24" i="41"/>
  <c r="F23" i="41"/>
  <c r="F22" i="41"/>
  <c r="F21" i="41"/>
  <c r="F20" i="41"/>
  <c r="F19" i="41"/>
  <c r="F18" i="41"/>
  <c r="F17" i="41"/>
  <c r="F16" i="41"/>
  <c r="F15" i="41"/>
  <c r="F14" i="41"/>
  <c r="F13" i="41"/>
  <c r="F12" i="41"/>
  <c r="F11" i="41"/>
  <c r="E40" i="41"/>
  <c r="E39" i="41"/>
  <c r="E38" i="41"/>
  <c r="E37" i="41"/>
  <c r="E36" i="41"/>
  <c r="E35" i="41"/>
  <c r="E34" i="41"/>
  <c r="E33" i="41"/>
  <c r="E32" i="41"/>
  <c r="E31" i="41"/>
  <c r="E30" i="41"/>
  <c r="E29" i="41"/>
  <c r="E28" i="41"/>
  <c r="E27" i="41"/>
  <c r="E26" i="41"/>
  <c r="E25" i="41"/>
  <c r="E24" i="41"/>
  <c r="E23" i="41"/>
  <c r="E22" i="41"/>
  <c r="E21" i="41"/>
  <c r="E20" i="41"/>
  <c r="E19" i="41"/>
  <c r="E18" i="41"/>
  <c r="E17" i="41"/>
  <c r="E16" i="41"/>
  <c r="E15" i="41"/>
  <c r="E14" i="41"/>
  <c r="E13" i="41"/>
  <c r="E12" i="41"/>
  <c r="E11" i="41"/>
  <c r="AC13" i="64" l="1"/>
  <c r="AC17" i="64"/>
  <c r="AD13" i="64"/>
  <c r="AC12" i="64"/>
  <c r="AC16" i="64"/>
  <c r="AD12" i="64"/>
  <c r="AD16" i="64"/>
  <c r="AC14" i="64"/>
  <c r="K88" i="128"/>
  <c r="F46" i="121"/>
  <c r="AD14" i="64"/>
  <c r="F35" i="121"/>
  <c r="F49" i="121"/>
  <c r="AD11" i="64"/>
  <c r="AD15" i="64"/>
  <c r="F50" i="121"/>
  <c r="F45" i="121"/>
  <c r="F53" i="121"/>
  <c r="G47" i="121"/>
  <c r="G52" i="121"/>
  <c r="F39" i="121"/>
  <c r="F48" i="121"/>
  <c r="G51" i="121"/>
  <c r="F41" i="121"/>
  <c r="G42" i="121"/>
  <c r="G43" i="121"/>
  <c r="G40" i="121"/>
  <c r="G44" i="121"/>
  <c r="F11" i="121"/>
  <c r="F12" i="121"/>
  <c r="J40" i="126"/>
  <c r="J48" i="126"/>
  <c r="J64" i="126"/>
  <c r="J80" i="126"/>
  <c r="J96" i="126"/>
  <c r="M28" i="126"/>
  <c r="P28" i="126" s="1"/>
  <c r="M60" i="126"/>
  <c r="P60" i="126" s="1"/>
  <c r="J33" i="126"/>
  <c r="J41" i="126"/>
  <c r="J57" i="126"/>
  <c r="J73" i="126"/>
  <c r="J89" i="126"/>
  <c r="J105" i="126"/>
  <c r="M100" i="126"/>
  <c r="P100" i="126" s="1"/>
  <c r="J29" i="126"/>
  <c r="J37" i="126"/>
  <c r="J45" i="126"/>
  <c r="J53" i="126"/>
  <c r="J61" i="126"/>
  <c r="J69" i="126"/>
  <c r="J77" i="126"/>
  <c r="J85" i="126"/>
  <c r="J93" i="126"/>
  <c r="J101" i="126"/>
  <c r="J109" i="126"/>
  <c r="M56" i="126"/>
  <c r="P56" i="126" s="1"/>
  <c r="M72" i="126"/>
  <c r="P72" i="126" s="1"/>
  <c r="M88" i="126"/>
  <c r="P88" i="126" s="1"/>
  <c r="M104" i="126"/>
  <c r="P104" i="126" s="1"/>
  <c r="J32" i="126"/>
  <c r="M44" i="126"/>
  <c r="P44" i="126" s="1"/>
  <c r="M76" i="126"/>
  <c r="P76" i="126" s="1"/>
  <c r="M92" i="126"/>
  <c r="P92" i="126" s="1"/>
  <c r="M108" i="126"/>
  <c r="P108" i="126" s="1"/>
  <c r="J49" i="126"/>
  <c r="J65" i="126"/>
  <c r="J81" i="126"/>
  <c r="J97" i="126"/>
  <c r="J36" i="126"/>
  <c r="J52" i="126"/>
  <c r="J68" i="126"/>
  <c r="J84" i="126"/>
  <c r="J27" i="126"/>
  <c r="J31" i="126"/>
  <c r="J35" i="126"/>
  <c r="J39" i="126"/>
  <c r="J43" i="126"/>
  <c r="J47" i="126"/>
  <c r="J51" i="126"/>
  <c r="J55" i="126"/>
  <c r="J59" i="126"/>
  <c r="J63" i="126"/>
  <c r="J67" i="126"/>
  <c r="J71" i="126"/>
  <c r="J75" i="126"/>
  <c r="J79" i="126"/>
  <c r="J83" i="126"/>
  <c r="J87" i="126"/>
  <c r="J91" i="126"/>
  <c r="J95" i="126"/>
  <c r="J99" i="126"/>
  <c r="J103" i="126"/>
  <c r="J107" i="126"/>
  <c r="J18" i="126"/>
  <c r="J30" i="126"/>
  <c r="J34" i="126"/>
  <c r="J38" i="126"/>
  <c r="J42" i="126"/>
  <c r="J46" i="126"/>
  <c r="J50" i="126"/>
  <c r="J54" i="126"/>
  <c r="J58" i="126"/>
  <c r="J62" i="126"/>
  <c r="J66" i="126"/>
  <c r="J70" i="126"/>
  <c r="J74" i="126"/>
  <c r="J78" i="126"/>
  <c r="J82" i="126"/>
  <c r="J86" i="126"/>
  <c r="J90" i="126"/>
  <c r="J94" i="126"/>
  <c r="J98" i="126"/>
  <c r="J102" i="126"/>
  <c r="J106" i="126"/>
  <c r="J25" i="126"/>
  <c r="M26" i="126"/>
  <c r="P26" i="126" s="1"/>
  <c r="M24" i="126"/>
  <c r="P24" i="126" s="1"/>
  <c r="J23" i="126"/>
  <c r="M22" i="126"/>
  <c r="P22" i="126" s="1"/>
  <c r="M17" i="126"/>
  <c r="P17" i="126" s="1"/>
  <c r="M19" i="126"/>
  <c r="P19" i="126" s="1"/>
  <c r="J20" i="126"/>
  <c r="J21" i="126"/>
  <c r="J12" i="126"/>
  <c r="M13" i="126"/>
  <c r="P13" i="126" s="1"/>
  <c r="J10" i="126"/>
  <c r="J14" i="126"/>
  <c r="J16" i="126"/>
  <c r="J11" i="126"/>
  <c r="J15" i="126"/>
  <c r="F20" i="121"/>
  <c r="F8" i="121"/>
  <c r="F32" i="121"/>
  <c r="F66" i="121"/>
  <c r="F63" i="121"/>
  <c r="F67" i="121"/>
  <c r="F16" i="121"/>
  <c r="F36" i="121"/>
  <c r="F64" i="121"/>
  <c r="F68" i="121"/>
  <c r="F62" i="121"/>
  <c r="F19" i="121"/>
  <c r="G34" i="121"/>
  <c r="F61" i="121"/>
  <c r="F65" i="121"/>
  <c r="G15" i="121"/>
  <c r="F33" i="121"/>
  <c r="F9" i="121"/>
  <c r="F17" i="121"/>
  <c r="F10" i="121"/>
  <c r="F14" i="121"/>
  <c r="F18" i="121"/>
  <c r="G13" i="121"/>
  <c r="S24" i="121"/>
  <c r="K26" i="121"/>
  <c r="J26" i="121"/>
  <c r="E26" i="121"/>
  <c r="C26" i="121"/>
  <c r="M7" i="121"/>
  <c r="L7" i="121"/>
  <c r="D7" i="121"/>
  <c r="J27" i="120"/>
  <c r="I27" i="120"/>
  <c r="D27" i="120"/>
  <c r="C27" i="120"/>
  <c r="L8" i="120"/>
  <c r="K8" i="120"/>
  <c r="F8" i="120"/>
  <c r="E8" i="120"/>
  <c r="F7" i="121" l="1"/>
  <c r="G7" i="121"/>
  <c r="H28" i="125"/>
  <c r="K28" i="125" s="1"/>
  <c r="G19" i="125"/>
  <c r="G13" i="131" s="1"/>
  <c r="L7" i="134"/>
  <c r="O7" i="134" s="1"/>
  <c r="L8" i="134"/>
  <c r="O8" i="134" s="1"/>
  <c r="L9" i="134"/>
  <c r="L10" i="134"/>
  <c r="L11" i="134"/>
  <c r="O11" i="134" s="1"/>
  <c r="L12" i="134"/>
  <c r="O12" i="134" s="1"/>
  <c r="L13" i="134"/>
  <c r="O13" i="134" s="1"/>
  <c r="L14" i="134"/>
  <c r="O14" i="134" s="1"/>
  <c r="L15" i="134"/>
  <c r="O15" i="134" s="1"/>
  <c r="L16" i="134"/>
  <c r="O16" i="134" s="1"/>
  <c r="L17" i="134"/>
  <c r="O17" i="134" s="1"/>
  <c r="L18" i="134"/>
  <c r="O18" i="134" s="1"/>
  <c r="L19" i="134"/>
  <c r="O19" i="134" s="1"/>
  <c r="L20" i="134"/>
  <c r="O20" i="134" s="1"/>
  <c r="L21" i="134"/>
  <c r="O21" i="134" s="1"/>
  <c r="L22" i="134"/>
  <c r="O22" i="134" s="1"/>
  <c r="L23" i="134"/>
  <c r="O23" i="134" s="1"/>
  <c r="L24" i="134"/>
  <c r="O24" i="134" s="1"/>
  <c r="L25" i="134"/>
  <c r="O25" i="134" s="1"/>
  <c r="L26" i="134"/>
  <c r="O26" i="134" s="1"/>
  <c r="L27" i="134"/>
  <c r="O27" i="134" s="1"/>
  <c r="L28" i="134"/>
  <c r="O28" i="134" s="1"/>
  <c r="L29" i="134"/>
  <c r="O29" i="134" s="1"/>
  <c r="L30" i="134"/>
  <c r="O30" i="134" s="1"/>
  <c r="L31" i="134"/>
  <c r="O31" i="134" s="1"/>
  <c r="L32" i="134"/>
  <c r="O32" i="134" s="1"/>
  <c r="L33" i="134"/>
  <c r="O33" i="134" s="1"/>
  <c r="L34" i="134"/>
  <c r="O34" i="134" s="1"/>
  <c r="L35" i="134"/>
  <c r="O35" i="134" s="1"/>
  <c r="L36" i="134"/>
  <c r="O36" i="134" s="1"/>
  <c r="L37" i="134"/>
  <c r="O37" i="134" s="1"/>
  <c r="L38" i="134"/>
  <c r="O38" i="134" s="1"/>
  <c r="L39" i="134"/>
  <c r="O39" i="134" s="1"/>
  <c r="L40" i="134"/>
  <c r="O40" i="134" s="1"/>
  <c r="L41" i="134"/>
  <c r="O41" i="134" s="1"/>
  <c r="L42" i="134"/>
  <c r="O42" i="134" s="1"/>
  <c r="L43" i="134"/>
  <c r="O43" i="134" s="1"/>
  <c r="L44" i="134"/>
  <c r="O44" i="134" s="1"/>
  <c r="L45" i="134"/>
  <c r="O45" i="134" s="1"/>
  <c r="L46" i="134"/>
  <c r="O46" i="134" s="1"/>
  <c r="L47" i="134"/>
  <c r="O47" i="134" s="1"/>
  <c r="L48" i="134"/>
  <c r="O48" i="134" s="1"/>
  <c r="L49" i="134"/>
  <c r="O49" i="134" s="1"/>
  <c r="L50" i="134"/>
  <c r="O50" i="134" s="1"/>
  <c r="L51" i="134"/>
  <c r="O51" i="134" s="1"/>
  <c r="L52" i="134"/>
  <c r="O52" i="134" s="1"/>
  <c r="L53" i="134"/>
  <c r="O53" i="134" s="1"/>
  <c r="L54" i="134"/>
  <c r="O54" i="134" s="1"/>
  <c r="L55" i="134"/>
  <c r="O55" i="134" s="1"/>
  <c r="L6" i="134"/>
  <c r="O6" i="134" s="1"/>
  <c r="O9" i="134"/>
  <c r="O10" i="134"/>
  <c r="L65" i="134"/>
  <c r="O65" i="134" s="1"/>
  <c r="L66" i="134"/>
  <c r="O66" i="134" s="1"/>
  <c r="L67" i="134"/>
  <c r="O67" i="134" s="1"/>
  <c r="L68" i="134"/>
  <c r="O68" i="134" s="1"/>
  <c r="L69" i="134"/>
  <c r="O69" i="134" s="1"/>
  <c r="L70" i="134"/>
  <c r="O70" i="134" s="1"/>
  <c r="L71" i="134"/>
  <c r="O71" i="134" s="1"/>
  <c r="L72" i="134"/>
  <c r="O72" i="134" s="1"/>
  <c r="L73" i="134"/>
  <c r="O73" i="134" s="1"/>
  <c r="L74" i="134"/>
  <c r="O74" i="134" s="1"/>
  <c r="L75" i="134"/>
  <c r="O75" i="134" s="1"/>
  <c r="L76" i="134"/>
  <c r="O76" i="134" s="1"/>
  <c r="L77" i="134"/>
  <c r="O77" i="134" s="1"/>
  <c r="L78" i="134"/>
  <c r="O78" i="134" s="1"/>
  <c r="L79" i="134"/>
  <c r="O79" i="134" s="1"/>
  <c r="L80" i="134"/>
  <c r="O80" i="134" s="1"/>
  <c r="L81" i="134"/>
  <c r="O81" i="134" s="1"/>
  <c r="L82" i="134"/>
  <c r="O82" i="134" s="1"/>
  <c r="L83" i="134"/>
  <c r="O83" i="134" s="1"/>
  <c r="L84" i="134"/>
  <c r="O84" i="134" s="1"/>
  <c r="L85" i="134"/>
  <c r="O85" i="134" s="1"/>
  <c r="L86" i="134"/>
  <c r="O86" i="134" s="1"/>
  <c r="L87" i="134"/>
  <c r="O87" i="134" s="1"/>
  <c r="L88" i="134"/>
  <c r="O88" i="134" s="1"/>
  <c r="L89" i="134"/>
  <c r="O89" i="134" s="1"/>
  <c r="L90" i="134"/>
  <c r="O90" i="134" s="1"/>
  <c r="L91" i="134"/>
  <c r="O91" i="134" s="1"/>
  <c r="L92" i="134"/>
  <c r="O92" i="134" s="1"/>
  <c r="L93" i="134"/>
  <c r="O93" i="134" s="1"/>
  <c r="L94" i="134"/>
  <c r="O94" i="134" s="1"/>
  <c r="L95" i="134"/>
  <c r="O95" i="134" s="1"/>
  <c r="L96" i="134"/>
  <c r="O96" i="134" s="1"/>
  <c r="L97" i="134"/>
  <c r="O97" i="134" s="1"/>
  <c r="L98" i="134"/>
  <c r="O98" i="134" s="1"/>
  <c r="L99" i="134"/>
  <c r="O99" i="134" s="1"/>
  <c r="L100" i="134"/>
  <c r="O100" i="134" s="1"/>
  <c r="L101" i="134"/>
  <c r="O101" i="134" s="1"/>
  <c r="L102" i="134"/>
  <c r="O102" i="134" s="1"/>
  <c r="L103" i="134"/>
  <c r="O103" i="134" s="1"/>
  <c r="L104" i="134"/>
  <c r="O104" i="134" s="1"/>
  <c r="L105" i="134"/>
  <c r="O105" i="134" s="1"/>
  <c r="L106" i="134"/>
  <c r="O106" i="134" s="1"/>
  <c r="L107" i="134"/>
  <c r="O107" i="134" s="1"/>
  <c r="L108" i="134"/>
  <c r="O108" i="134" s="1"/>
  <c r="L109" i="134"/>
  <c r="O109" i="134" s="1"/>
  <c r="L110" i="134"/>
  <c r="O110" i="134" s="1"/>
  <c r="L111" i="134"/>
  <c r="O111" i="134" s="1"/>
  <c r="L112" i="134"/>
  <c r="O112" i="134" s="1"/>
  <c r="L113" i="134"/>
  <c r="O113" i="134" s="1"/>
  <c r="L64" i="134"/>
  <c r="O64" i="134" s="1"/>
  <c r="N114" i="134"/>
  <c r="K114" i="134"/>
  <c r="F114" i="134"/>
  <c r="F116" i="134" s="1"/>
  <c r="N56" i="134"/>
  <c r="K56" i="134"/>
  <c r="F56" i="134"/>
  <c r="F58" i="134" s="1"/>
  <c r="I107" i="129"/>
  <c r="H107" i="129"/>
  <c r="I52" i="129" s="1"/>
  <c r="G107" i="129"/>
  <c r="H52" i="129" s="1"/>
  <c r="F107" i="129"/>
  <c r="E107" i="129"/>
  <c r="E52" i="129" s="1"/>
  <c r="D107" i="129"/>
  <c r="D52" i="129" s="1"/>
  <c r="C107" i="129"/>
  <c r="C52" i="129" s="1"/>
  <c r="B107" i="129"/>
  <c r="B52" i="129" s="1"/>
  <c r="I106" i="129"/>
  <c r="H106" i="129"/>
  <c r="G106" i="129"/>
  <c r="F106" i="129"/>
  <c r="E106" i="129"/>
  <c r="D106" i="129"/>
  <c r="C106" i="129"/>
  <c r="B106" i="129"/>
  <c r="I105" i="129"/>
  <c r="H105" i="129"/>
  <c r="G105" i="129"/>
  <c r="F105" i="129"/>
  <c r="E105" i="129"/>
  <c r="D105" i="129"/>
  <c r="C105" i="129"/>
  <c r="B105" i="129"/>
  <c r="I104" i="129"/>
  <c r="H104" i="129"/>
  <c r="I26" i="129" s="1"/>
  <c r="G104" i="129"/>
  <c r="H26" i="129" s="1"/>
  <c r="F104" i="129"/>
  <c r="E104" i="129"/>
  <c r="E26" i="129" s="1"/>
  <c r="D104" i="129"/>
  <c r="D26" i="129" s="1"/>
  <c r="C104" i="129"/>
  <c r="C26" i="129" s="1"/>
  <c r="B104" i="129"/>
  <c r="B26" i="129" s="1"/>
  <c r="I103" i="129"/>
  <c r="H103" i="129"/>
  <c r="G103" i="129"/>
  <c r="F103" i="129"/>
  <c r="E103" i="129"/>
  <c r="D103" i="129"/>
  <c r="C103" i="129"/>
  <c r="B103" i="129"/>
  <c r="B102" i="129"/>
  <c r="B25" i="129" s="1"/>
  <c r="C102" i="129"/>
  <c r="D102" i="129"/>
  <c r="E102" i="129"/>
  <c r="F102" i="129"/>
  <c r="G102" i="129"/>
  <c r="H102" i="129"/>
  <c r="I102" i="129"/>
  <c r="I101" i="129"/>
  <c r="H101" i="129"/>
  <c r="I38" i="129" s="1"/>
  <c r="G101" i="129"/>
  <c r="H38" i="129" s="1"/>
  <c r="F101" i="129"/>
  <c r="E101" i="129"/>
  <c r="E12" i="129" s="1"/>
  <c r="D101" i="129"/>
  <c r="D12" i="129" s="1"/>
  <c r="C101" i="129"/>
  <c r="C12" i="129" s="1"/>
  <c r="B101" i="129"/>
  <c r="B12" i="129" s="1"/>
  <c r="L17" i="129"/>
  <c r="L15" i="129"/>
  <c r="C25" i="129" l="1"/>
  <c r="D25" i="129" s="1"/>
  <c r="E25" i="129" s="1"/>
  <c r="H25" i="129" s="1"/>
  <c r="B38" i="129"/>
  <c r="J38" i="129"/>
  <c r="J52" i="129"/>
  <c r="J26" i="129"/>
  <c r="B51" i="129"/>
  <c r="H51" i="129"/>
  <c r="I51" i="129"/>
  <c r="H12" i="129"/>
  <c r="C38" i="129"/>
  <c r="C51" i="129"/>
  <c r="F12" i="129"/>
  <c r="L56" i="134"/>
  <c r="E38" i="129"/>
  <c r="D51" i="129"/>
  <c r="O56" i="134"/>
  <c r="L114" i="134"/>
  <c r="O114" i="134"/>
  <c r="I12" i="129"/>
  <c r="D38" i="129"/>
  <c r="F52" i="129"/>
  <c r="E51" i="129"/>
  <c r="F26" i="129"/>
  <c r="K52" i="129" l="1"/>
  <c r="I25" i="129"/>
  <c r="J51" i="129"/>
  <c r="F51" i="129"/>
  <c r="F25" i="129"/>
  <c r="J25" i="129"/>
  <c r="K26" i="129"/>
  <c r="F38" i="129"/>
  <c r="K38" i="129" s="1"/>
  <c r="J12" i="129"/>
  <c r="K12" i="129" s="1"/>
  <c r="S25" i="120"/>
  <c r="E97" i="133"/>
  <c r="K51" i="129" l="1"/>
  <c r="K25" i="129"/>
  <c r="M24" i="121"/>
  <c r="L24" i="121"/>
  <c r="D24" i="121"/>
  <c r="L25" i="120"/>
  <c r="K25" i="120"/>
  <c r="F25" i="120"/>
  <c r="E25" i="120"/>
  <c r="F24" i="121" l="1"/>
  <c r="G24" i="121"/>
  <c r="C4" i="131" l="1"/>
  <c r="B55" i="124" l="1"/>
  <c r="K77" i="128" l="1"/>
  <c r="J77" i="128"/>
  <c r="F77" i="128"/>
  <c r="E77" i="128"/>
  <c r="D77" i="128"/>
  <c r="C77" i="128"/>
  <c r="G67" i="128"/>
  <c r="G77" i="128" s="1"/>
  <c r="M67" i="128"/>
  <c r="M77" i="128" s="1"/>
  <c r="P36" i="128" l="1"/>
  <c r="M36" i="128"/>
  <c r="G36" i="128"/>
  <c r="K63" i="128"/>
  <c r="J63" i="128"/>
  <c r="F63" i="128"/>
  <c r="E63" i="128"/>
  <c r="D63" i="128"/>
  <c r="C63" i="128"/>
  <c r="O38" i="121"/>
  <c r="K55" i="121"/>
  <c r="J55" i="121"/>
  <c r="E55" i="121"/>
  <c r="C55" i="121"/>
  <c r="M38" i="121"/>
  <c r="L38" i="121"/>
  <c r="D38" i="121"/>
  <c r="G38" i="121" s="1"/>
  <c r="L39" i="120"/>
  <c r="K39" i="120"/>
  <c r="F39" i="120"/>
  <c r="E39" i="120"/>
  <c r="J56" i="120"/>
  <c r="I56" i="120"/>
  <c r="D56" i="120"/>
  <c r="C56" i="120"/>
  <c r="F38" i="121" l="1"/>
  <c r="O39" i="120"/>
  <c r="L56" i="120"/>
  <c r="I12" i="133" a="1"/>
  <c r="I12" i="133" s="1"/>
  <c r="I13" i="133" l="1" a="1"/>
  <c r="I13" i="133" s="1"/>
  <c r="J13" i="133" s="1" a="1"/>
  <c r="J13" i="133" s="1"/>
  <c r="J12" i="133" a="1"/>
  <c r="J12" i="133" s="1"/>
  <c r="E10" i="41"/>
  <c r="I14" i="133" l="1" a="1"/>
  <c r="I14" i="133" s="1"/>
  <c r="I15" i="133" s="1" a="1"/>
  <c r="I15" i="133" s="1"/>
  <c r="J15" i="133" s="1" a="1"/>
  <c r="J15" i="133" s="1"/>
  <c r="J89" i="128"/>
  <c r="G89" i="128"/>
  <c r="H9" i="126"/>
  <c r="G111" i="126"/>
  <c r="J14" i="133" l="1" a="1"/>
  <c r="J14" i="133" s="1"/>
  <c r="I16" i="133" a="1"/>
  <c r="I16" i="133" s="1"/>
  <c r="J16" i="133" s="1" a="1"/>
  <c r="J16" i="133" s="1"/>
  <c r="H111" i="126"/>
  <c r="M9" i="126"/>
  <c r="K89" i="128"/>
  <c r="I17" i="133" l="1" a="1"/>
  <c r="I17" i="133" s="1"/>
  <c r="J17" i="133" s="1" a="1"/>
  <c r="J17" i="133" s="1"/>
  <c r="D31" i="125"/>
  <c r="D23" i="131" s="1"/>
  <c r="J86" i="128"/>
  <c r="K86" i="128" s="1"/>
  <c r="L111" i="126"/>
  <c r="M111" i="126" s="1"/>
  <c r="I18" i="133" l="1" a="1"/>
  <c r="I18" i="133" s="1"/>
  <c r="J18" i="133" s="1" a="1"/>
  <c r="J18" i="133" s="1"/>
  <c r="D95" i="128"/>
  <c r="C13" i="129" s="1"/>
  <c r="E95" i="128"/>
  <c r="D13" i="129" s="1"/>
  <c r="F95" i="128"/>
  <c r="E13" i="129" s="1"/>
  <c r="E19" i="129" s="1"/>
  <c r="E24" i="129" s="1"/>
  <c r="E27" i="129" s="1"/>
  <c r="C95" i="128"/>
  <c r="B13" i="129" s="1"/>
  <c r="I95" i="128"/>
  <c r="I13" i="129" s="1"/>
  <c r="I19" i="129" s="1"/>
  <c r="I24" i="129" s="1"/>
  <c r="I27" i="129" s="1"/>
  <c r="H95" i="128"/>
  <c r="H13" i="129" s="1"/>
  <c r="I102" i="128"/>
  <c r="I39" i="129" s="1"/>
  <c r="I45" i="129" s="1"/>
  <c r="I50" i="129" s="1"/>
  <c r="I53" i="129" s="1"/>
  <c r="H102" i="128"/>
  <c r="H39" i="129" s="1"/>
  <c r="D102" i="128"/>
  <c r="C39" i="129" s="1"/>
  <c r="C45" i="129" s="1"/>
  <c r="C50" i="129" s="1"/>
  <c r="C53" i="129" s="1"/>
  <c r="E102" i="128"/>
  <c r="D39" i="129" s="1"/>
  <c r="D45" i="129" s="1"/>
  <c r="D50" i="129" s="1"/>
  <c r="D53" i="129" s="1"/>
  <c r="F102" i="128"/>
  <c r="E39" i="129" s="1"/>
  <c r="E45" i="129" s="1"/>
  <c r="E50" i="129" s="1"/>
  <c r="E53" i="129" s="1"/>
  <c r="C102" i="128"/>
  <c r="B39" i="129" s="1"/>
  <c r="I19" i="133" l="1" a="1"/>
  <c r="I19" i="133" s="1"/>
  <c r="J19" i="133" s="1" a="1"/>
  <c r="J19" i="133" s="1"/>
  <c r="H45" i="129"/>
  <c r="J45" i="129" s="1"/>
  <c r="J39" i="129"/>
  <c r="B45" i="129"/>
  <c r="F45" i="129" s="1"/>
  <c r="F39" i="129"/>
  <c r="H19" i="129"/>
  <c r="J13" i="129"/>
  <c r="F13" i="129"/>
  <c r="G102" i="128"/>
  <c r="J102" i="128"/>
  <c r="G95" i="128"/>
  <c r="J95" i="128"/>
  <c r="H4" i="131"/>
  <c r="E4" i="131"/>
  <c r="I20" i="133" l="1" a="1"/>
  <c r="I20" i="133" s="1"/>
  <c r="J20" i="133" s="1" a="1"/>
  <c r="J20" i="133" s="1"/>
  <c r="H50" i="129"/>
  <c r="J50" i="129" s="1"/>
  <c r="J53" i="129" s="1"/>
  <c r="B50" i="129"/>
  <c r="B53" i="129" s="1"/>
  <c r="K39" i="129"/>
  <c r="K13" i="129"/>
  <c r="H24" i="129"/>
  <c r="J19" i="129"/>
  <c r="K45" i="129"/>
  <c r="C18" i="2"/>
  <c r="C9" i="2"/>
  <c r="I21" i="133" l="1" a="1"/>
  <c r="I21" i="133" s="1"/>
  <c r="J21" i="133" s="1" a="1"/>
  <c r="J21" i="133" s="1"/>
  <c r="F50" i="129"/>
  <c r="F53" i="129" s="1"/>
  <c r="K53" i="129" s="1"/>
  <c r="K55" i="129" s="1"/>
  <c r="H53" i="129"/>
  <c r="H27" i="129"/>
  <c r="J24" i="129"/>
  <c r="J27" i="129" s="1"/>
  <c r="G96" i="128"/>
  <c r="G97" i="128"/>
  <c r="J96" i="128"/>
  <c r="J97" i="128"/>
  <c r="J90" i="128"/>
  <c r="G90" i="128"/>
  <c r="I22" i="133" l="1" a="1"/>
  <c r="I22" i="133" s="1"/>
  <c r="J22" i="133" s="1" a="1"/>
  <c r="J22" i="133" s="1"/>
  <c r="K96" i="128"/>
  <c r="C6" i="132"/>
  <c r="C7" i="132"/>
  <c r="C8" i="132"/>
  <c r="C5" i="132"/>
  <c r="I23" i="133" l="1" a="1"/>
  <c r="I23" i="133" s="1"/>
  <c r="J23" i="133" s="1" a="1"/>
  <c r="J23" i="133" s="1"/>
  <c r="L13" i="117"/>
  <c r="J13" i="117"/>
  <c r="L12" i="117"/>
  <c r="J12" i="117"/>
  <c r="J9" i="117"/>
  <c r="I24" i="133" l="1" a="1"/>
  <c r="I24" i="133" s="1"/>
  <c r="J24" i="133" s="1" a="1"/>
  <c r="J24" i="133" s="1"/>
  <c r="F11" i="96"/>
  <c r="A1" i="117"/>
  <c r="C2" i="2"/>
  <c r="A1" i="80"/>
  <c r="A1" i="69"/>
  <c r="A1" i="64"/>
  <c r="A1" i="83"/>
  <c r="A1" i="125"/>
  <c r="A1" i="127"/>
  <c r="A1" i="126"/>
  <c r="M1" i="39"/>
  <c r="B1" i="4"/>
  <c r="A1" i="30"/>
  <c r="A1" i="41"/>
  <c r="A1" i="120"/>
  <c r="A1" i="121"/>
  <c r="A1" i="128"/>
  <c r="A1" i="96"/>
  <c r="A1" i="97"/>
  <c r="J9" i="96"/>
  <c r="H9" i="96"/>
  <c r="A9" i="96"/>
  <c r="J8" i="97"/>
  <c r="H8" i="97"/>
  <c r="A8" i="97"/>
  <c r="A7" i="97"/>
  <c r="J4" i="128"/>
  <c r="L4" i="129" s="1"/>
  <c r="H4" i="128"/>
  <c r="G4" i="128"/>
  <c r="I4" i="129" s="1"/>
  <c r="C4" i="128"/>
  <c r="J3" i="128"/>
  <c r="L3" i="129" s="1"/>
  <c r="H3" i="128"/>
  <c r="G3" i="128"/>
  <c r="I3" i="129" s="1"/>
  <c r="C3" i="128"/>
  <c r="L77" i="128"/>
  <c r="L63" i="128"/>
  <c r="K24" i="128"/>
  <c r="L24" i="128"/>
  <c r="J24" i="128"/>
  <c r="D24" i="128"/>
  <c r="E24" i="128"/>
  <c r="E79" i="128" s="1"/>
  <c r="F24" i="128"/>
  <c r="C24" i="128"/>
  <c r="C79" i="128" s="1"/>
  <c r="K70" i="121"/>
  <c r="K73" i="121" s="1"/>
  <c r="J70" i="121"/>
  <c r="J73" i="121" s="1"/>
  <c r="E70" i="121"/>
  <c r="E73" i="121" s="1"/>
  <c r="C70" i="121"/>
  <c r="C73" i="121" s="1"/>
  <c r="J71" i="120"/>
  <c r="J74" i="120" s="1"/>
  <c r="I71" i="120"/>
  <c r="I74" i="120" s="1"/>
  <c r="D71" i="120"/>
  <c r="D74" i="120" s="1"/>
  <c r="C71" i="120"/>
  <c r="C74" i="120" s="1"/>
  <c r="I3" i="121"/>
  <c r="H3" i="121"/>
  <c r="G3" i="121"/>
  <c r="I2" i="121"/>
  <c r="H2" i="121"/>
  <c r="G2" i="121"/>
  <c r="E2" i="121"/>
  <c r="H4" i="120"/>
  <c r="G4" i="120"/>
  <c r="F4" i="120"/>
  <c r="H3" i="120"/>
  <c r="G3" i="120"/>
  <c r="F3" i="120"/>
  <c r="D3" i="120"/>
  <c r="I3" i="127"/>
  <c r="H3" i="127"/>
  <c r="G3" i="127"/>
  <c r="I2" i="127"/>
  <c r="H2" i="127"/>
  <c r="G2" i="127"/>
  <c r="E2" i="127"/>
  <c r="G3" i="126"/>
  <c r="F3" i="126"/>
  <c r="E3" i="126"/>
  <c r="G2" i="126"/>
  <c r="F2" i="126"/>
  <c r="E2" i="126"/>
  <c r="C2" i="126"/>
  <c r="G3" i="125"/>
  <c r="F3" i="125"/>
  <c r="E3" i="125"/>
  <c r="G2" i="125"/>
  <c r="F2" i="125"/>
  <c r="E2" i="125"/>
  <c r="C2" i="125"/>
  <c r="L79" i="128" l="1"/>
  <c r="M55" i="121"/>
  <c r="F79" i="128"/>
  <c r="J105" i="128"/>
  <c r="D79" i="128"/>
  <c r="G105" i="128"/>
  <c r="K79" i="128"/>
  <c r="J107" i="128"/>
  <c r="J79" i="128"/>
  <c r="G107" i="128"/>
  <c r="D20" i="132"/>
  <c r="D14" i="132"/>
  <c r="D15" i="132" s="1"/>
  <c r="D85" i="128" l="1"/>
  <c r="C85" i="128"/>
  <c r="E85" i="128"/>
  <c r="F85" i="128"/>
  <c r="I85" i="128"/>
  <c r="H85" i="128"/>
  <c r="E20" i="132"/>
  <c r="M29" i="128"/>
  <c r="M63" i="128" s="1"/>
  <c r="G29" i="128"/>
  <c r="G63" i="128" s="1"/>
  <c r="M9" i="128"/>
  <c r="M24" i="128" s="1"/>
  <c r="G9" i="128"/>
  <c r="G24" i="128" s="1"/>
  <c r="E14" i="132"/>
  <c r="D37" i="129" l="1"/>
  <c r="D11" i="129"/>
  <c r="H37" i="129"/>
  <c r="H11" i="129"/>
  <c r="B37" i="129"/>
  <c r="B11" i="129"/>
  <c r="E37" i="129"/>
  <c r="E11" i="129"/>
  <c r="I37" i="129"/>
  <c r="I11" i="129"/>
  <c r="C37" i="129"/>
  <c r="C11" i="129"/>
  <c r="G79" i="128"/>
  <c r="M79" i="128"/>
  <c r="U9" i="126"/>
  <c r="P9" i="126"/>
  <c r="J9" i="126"/>
  <c r="G4" i="131"/>
  <c r="F4" i="131"/>
  <c r="D4" i="131"/>
  <c r="J87" i="128"/>
  <c r="G87" i="128"/>
  <c r="M30" i="127"/>
  <c r="L30" i="127"/>
  <c r="G30" i="127"/>
  <c r="F30" i="127"/>
  <c r="M29" i="127"/>
  <c r="L29" i="127"/>
  <c r="G29" i="127"/>
  <c r="F29" i="127"/>
  <c r="K28" i="127"/>
  <c r="J28" i="127"/>
  <c r="E28" i="127"/>
  <c r="D28" i="127"/>
  <c r="J23" i="127"/>
  <c r="D23" i="127"/>
  <c r="M15" i="127"/>
  <c r="L15" i="127"/>
  <c r="G15" i="127"/>
  <c r="F15" i="127"/>
  <c r="M14" i="127"/>
  <c r="L14" i="127"/>
  <c r="G14" i="127"/>
  <c r="F14" i="127"/>
  <c r="K13" i="127"/>
  <c r="J13" i="127"/>
  <c r="E13" i="127"/>
  <c r="D13" i="127"/>
  <c r="K10" i="127"/>
  <c r="L10" i="127" s="1"/>
  <c r="E10" i="127"/>
  <c r="G10" i="127" s="1"/>
  <c r="J8" i="127"/>
  <c r="D8" i="127"/>
  <c r="I111" i="126"/>
  <c r="F111" i="126"/>
  <c r="E111" i="126"/>
  <c r="D111" i="126"/>
  <c r="C111" i="126"/>
  <c r="B111" i="126"/>
  <c r="P110" i="126"/>
  <c r="D52" i="125"/>
  <c r="D35" i="131" s="1"/>
  <c r="J51" i="125"/>
  <c r="G51" i="125"/>
  <c r="G34" i="131" s="1"/>
  <c r="F51" i="125"/>
  <c r="F34" i="131" s="1"/>
  <c r="D51" i="125"/>
  <c r="D34" i="131" s="1"/>
  <c r="C51" i="125"/>
  <c r="C34" i="131" s="1"/>
  <c r="J50" i="125"/>
  <c r="G50" i="125"/>
  <c r="G33" i="131" s="1"/>
  <c r="F50" i="125"/>
  <c r="F33" i="131" s="1"/>
  <c r="D50" i="125"/>
  <c r="D33" i="131" s="1"/>
  <c r="C50" i="125"/>
  <c r="C33" i="131" s="1"/>
  <c r="J44" i="125"/>
  <c r="G44" i="125"/>
  <c r="G31" i="131" s="1"/>
  <c r="F44" i="125"/>
  <c r="F31" i="131" s="1"/>
  <c r="D44" i="125"/>
  <c r="D31" i="131" s="1"/>
  <c r="C44" i="125"/>
  <c r="C31" i="131" s="1"/>
  <c r="H43" i="125"/>
  <c r="H42" i="125"/>
  <c r="H39" i="125"/>
  <c r="L43" i="129" s="1"/>
  <c r="H38" i="125"/>
  <c r="L41" i="129" s="1"/>
  <c r="H37" i="125"/>
  <c r="K37" i="125" s="1"/>
  <c r="F32" i="125"/>
  <c r="F24" i="131" s="1"/>
  <c r="C32" i="125"/>
  <c r="C24" i="131" s="1"/>
  <c r="H27" i="125"/>
  <c r="K27" i="125" s="1"/>
  <c r="H26" i="125"/>
  <c r="K26" i="125" s="1"/>
  <c r="H25" i="125"/>
  <c r="K25" i="125" s="1"/>
  <c r="H24" i="125"/>
  <c r="K24" i="125" s="1"/>
  <c r="G22" i="125"/>
  <c r="G16" i="131" s="1"/>
  <c r="H21" i="125"/>
  <c r="K21" i="125" s="1"/>
  <c r="H20" i="125"/>
  <c r="E25" i="127" s="1"/>
  <c r="K25" i="127" s="1"/>
  <c r="L25" i="127" s="1"/>
  <c r="J19" i="125"/>
  <c r="J22" i="125" s="1"/>
  <c r="F19" i="125"/>
  <c r="F13" i="131" s="1"/>
  <c r="D19" i="125"/>
  <c r="C19" i="125"/>
  <c r="H18" i="125"/>
  <c r="K18" i="125" s="1"/>
  <c r="J15" i="125"/>
  <c r="G15" i="125"/>
  <c r="G11" i="131" s="1"/>
  <c r="F15" i="125"/>
  <c r="F11" i="131" s="1"/>
  <c r="D15" i="125"/>
  <c r="D11" i="131" s="1"/>
  <c r="C15" i="125"/>
  <c r="C11" i="131" s="1"/>
  <c r="H14" i="125"/>
  <c r="K14" i="125" s="1"/>
  <c r="H13" i="125"/>
  <c r="K13" i="125" s="1"/>
  <c r="H12" i="125"/>
  <c r="K12" i="125" s="1"/>
  <c r="H11" i="125"/>
  <c r="K11" i="125" s="1"/>
  <c r="H10" i="125"/>
  <c r="K10" i="125" s="1"/>
  <c r="H7" i="125"/>
  <c r="C22" i="125" l="1"/>
  <c r="C16" i="131" s="1"/>
  <c r="C13" i="131"/>
  <c r="E9" i="127"/>
  <c r="G9" i="127" s="1"/>
  <c r="D13" i="131"/>
  <c r="F13" i="127"/>
  <c r="G30" i="125"/>
  <c r="G22" i="131" s="1"/>
  <c r="H50" i="125"/>
  <c r="K50" i="125" s="1"/>
  <c r="C53" i="125"/>
  <c r="H44" i="125"/>
  <c r="L58" i="134"/>
  <c r="H51" i="125"/>
  <c r="K51" i="125" s="1"/>
  <c r="K15" i="125"/>
  <c r="K43" i="125"/>
  <c r="L116" i="134"/>
  <c r="F10" i="127"/>
  <c r="F53" i="125"/>
  <c r="F36" i="131" s="1"/>
  <c r="K9" i="127"/>
  <c r="M9" i="127" s="1"/>
  <c r="D22" i="125"/>
  <c r="J30" i="125"/>
  <c r="J32" i="125" s="1"/>
  <c r="H19" i="125"/>
  <c r="K19" i="125" s="1"/>
  <c r="M10" i="127"/>
  <c r="K39" i="125"/>
  <c r="M28" i="127"/>
  <c r="L28" i="127"/>
  <c r="G28" i="127"/>
  <c r="F28" i="127"/>
  <c r="L13" i="127"/>
  <c r="G13" i="127"/>
  <c r="M13" i="127"/>
  <c r="G31" i="125"/>
  <c r="G23" i="131" s="1"/>
  <c r="K87" i="128"/>
  <c r="H15" i="125"/>
  <c r="J111" i="126"/>
  <c r="K7" i="125"/>
  <c r="F22" i="125"/>
  <c r="F16" i="131" s="1"/>
  <c r="K38" i="125"/>
  <c r="K42" i="125"/>
  <c r="M25" i="127"/>
  <c r="F25" i="127"/>
  <c r="K20" i="125"/>
  <c r="G25" i="127"/>
  <c r="L31" i="121"/>
  <c r="L55" i="121" s="1"/>
  <c r="D53" i="125" l="1"/>
  <c r="D36" i="131" s="1"/>
  <c r="C36" i="131"/>
  <c r="E8" i="127"/>
  <c r="G8" i="127" s="1"/>
  <c r="F9" i="127"/>
  <c r="D30" i="125"/>
  <c r="D22" i="131" s="1"/>
  <c r="D16" i="131"/>
  <c r="F8" i="127"/>
  <c r="K8" i="127"/>
  <c r="M8" i="127" s="1"/>
  <c r="H22" i="125"/>
  <c r="H30" i="125" s="1"/>
  <c r="K44" i="125"/>
  <c r="L9" i="127"/>
  <c r="E24" i="127"/>
  <c r="G24" i="127" s="1"/>
  <c r="G32" i="125"/>
  <c r="K22" i="125"/>
  <c r="K30" i="125" s="1"/>
  <c r="K102" i="128"/>
  <c r="K95" i="128"/>
  <c r="D32" i="125" l="1"/>
  <c r="B14" i="129" s="1"/>
  <c r="H49" i="125"/>
  <c r="G52" i="125" s="1"/>
  <c r="G24" i="131"/>
  <c r="K24" i="127"/>
  <c r="M24" i="127" s="1"/>
  <c r="L8" i="127"/>
  <c r="E23" i="127"/>
  <c r="G23" i="127" s="1"/>
  <c r="K49" i="125"/>
  <c r="F24" i="127"/>
  <c r="P111" i="126"/>
  <c r="H31" i="125"/>
  <c r="K31" i="125" s="1"/>
  <c r="D60" i="121"/>
  <c r="D70" i="121" s="1"/>
  <c r="G70" i="121" s="1"/>
  <c r="D31" i="121"/>
  <c r="D55" i="121" s="1"/>
  <c r="D22" i="121"/>
  <c r="D26" i="121" s="1"/>
  <c r="B19" i="129" l="1"/>
  <c r="H52" i="125"/>
  <c r="G35" i="131"/>
  <c r="D24" i="131"/>
  <c r="F23" i="127"/>
  <c r="L24" i="127"/>
  <c r="K23" i="127"/>
  <c r="L23" i="127" s="1"/>
  <c r="D73" i="121"/>
  <c r="G55" i="121"/>
  <c r="G26" i="121"/>
  <c r="K32" i="125"/>
  <c r="H32" i="125"/>
  <c r="B40" i="129" s="1"/>
  <c r="K50" i="129" s="1"/>
  <c r="V40" i="39"/>
  <c r="D26" i="117"/>
  <c r="B24" i="129" l="1"/>
  <c r="H53" i="125"/>
  <c r="K52" i="125"/>
  <c r="K53" i="125" s="1"/>
  <c r="M23" i="127"/>
  <c r="N77" i="39"/>
  <c r="N76" i="39"/>
  <c r="B27" i="129" l="1"/>
  <c r="C19" i="129"/>
  <c r="G41" i="41"/>
  <c r="F41" i="41"/>
  <c r="B76" i="30"/>
  <c r="B75" i="30"/>
  <c r="B74" i="30"/>
  <c r="N75" i="39"/>
  <c r="L60" i="121"/>
  <c r="L70" i="121" s="1"/>
  <c r="F60" i="121"/>
  <c r="F70" i="121" s="1"/>
  <c r="G60" i="121"/>
  <c r="G31" i="121"/>
  <c r="G22" i="121"/>
  <c r="F31" i="121"/>
  <c r="F55" i="121" s="1"/>
  <c r="L22" i="121"/>
  <c r="L26" i="121" s="1"/>
  <c r="F22" i="121"/>
  <c r="F26" i="121" s="1"/>
  <c r="E23" i="120"/>
  <c r="E27" i="120" s="1"/>
  <c r="K61" i="120"/>
  <c r="K71" i="120" s="1"/>
  <c r="E61" i="120"/>
  <c r="E71" i="120" s="1"/>
  <c r="F71" i="120"/>
  <c r="K32" i="120"/>
  <c r="K56" i="120" s="1"/>
  <c r="E32" i="120"/>
  <c r="E56" i="120" s="1"/>
  <c r="K23" i="120"/>
  <c r="K27" i="120" s="1"/>
  <c r="F10" i="41"/>
  <c r="G10" i="41"/>
  <c r="J7" i="96"/>
  <c r="H7" i="96"/>
  <c r="J6" i="97"/>
  <c r="H6" i="97"/>
  <c r="L9" i="117"/>
  <c r="N7" i="83"/>
  <c r="K7" i="83"/>
  <c r="P10" i="64"/>
  <c r="R10" i="64" s="1"/>
  <c r="O18" i="2"/>
  <c r="V18" i="2"/>
  <c r="V9" i="2"/>
  <c r="O9" i="2"/>
  <c r="R7" i="69"/>
  <c r="M7" i="69"/>
  <c r="V10" i="64"/>
  <c r="X10" i="64" s="1"/>
  <c r="J30" i="4"/>
  <c r="V36" i="39"/>
  <c r="V37" i="39"/>
  <c r="V38" i="39"/>
  <c r="V39" i="39"/>
  <c r="V41" i="39"/>
  <c r="Q36" i="39"/>
  <c r="Q37" i="39"/>
  <c r="Q38" i="39"/>
  <c r="Q39" i="39"/>
  <c r="Q40" i="39"/>
  <c r="Q41" i="39"/>
  <c r="AB10" i="64"/>
  <c r="AA10" i="64"/>
  <c r="F9" i="97"/>
  <c r="J7" i="97"/>
  <c r="H7" i="97"/>
  <c r="F5" i="97"/>
  <c r="F10" i="96"/>
  <c r="J8" i="96"/>
  <c r="H8" i="96"/>
  <c r="F6" i="96"/>
  <c r="F23" i="120"/>
  <c r="F32" i="120"/>
  <c r="F61" i="120"/>
  <c r="M31" i="121"/>
  <c r="L23" i="120"/>
  <c r="L32" i="120"/>
  <c r="L61" i="120"/>
  <c r="M26" i="121"/>
  <c r="M22" i="121"/>
  <c r="M60" i="121"/>
  <c r="L71" i="120"/>
  <c r="L27" i="120"/>
  <c r="M70" i="121"/>
  <c r="R44" i="83"/>
  <c r="N44" i="83"/>
  <c r="K44" i="83"/>
  <c r="R43" i="83"/>
  <c r="N43" i="83"/>
  <c r="K43" i="83"/>
  <c r="R42" i="83"/>
  <c r="N42" i="83"/>
  <c r="K42" i="83"/>
  <c r="R41" i="83"/>
  <c r="N41" i="83"/>
  <c r="K41" i="83"/>
  <c r="R40" i="83"/>
  <c r="N40" i="83"/>
  <c r="K40" i="83"/>
  <c r="R39" i="83"/>
  <c r="N39" i="83"/>
  <c r="K39" i="83"/>
  <c r="R38" i="83"/>
  <c r="N38" i="83"/>
  <c r="K38" i="83"/>
  <c r="R37" i="83"/>
  <c r="N37" i="83"/>
  <c r="K37" i="83"/>
  <c r="R36" i="83"/>
  <c r="N36" i="83"/>
  <c r="K36" i="83"/>
  <c r="R35" i="83"/>
  <c r="N35" i="83"/>
  <c r="K35" i="83"/>
  <c r="R34" i="83"/>
  <c r="N34" i="83"/>
  <c r="K34" i="83"/>
  <c r="R33" i="83"/>
  <c r="N33" i="83"/>
  <c r="K33" i="83"/>
  <c r="R32" i="83"/>
  <c r="N32" i="83"/>
  <c r="K32" i="83"/>
  <c r="R31" i="83"/>
  <c r="N31" i="83"/>
  <c r="K31" i="83"/>
  <c r="R30" i="83"/>
  <c r="N30" i="83"/>
  <c r="K30" i="83"/>
  <c r="R8" i="83"/>
  <c r="R9" i="83"/>
  <c r="R10" i="83"/>
  <c r="R11" i="83"/>
  <c r="R12" i="83"/>
  <c r="R13" i="83"/>
  <c r="R14" i="83"/>
  <c r="R19" i="83"/>
  <c r="R20" i="83"/>
  <c r="R21" i="83"/>
  <c r="R22" i="83"/>
  <c r="R23" i="83"/>
  <c r="R24" i="83"/>
  <c r="R25" i="83"/>
  <c r="R26" i="83"/>
  <c r="R27" i="83"/>
  <c r="R28" i="83"/>
  <c r="R29" i="83"/>
  <c r="R7" i="83"/>
  <c r="N8" i="83"/>
  <c r="N9" i="83"/>
  <c r="N10" i="83"/>
  <c r="N11" i="83"/>
  <c r="N12" i="83"/>
  <c r="N13" i="83"/>
  <c r="N14" i="83"/>
  <c r="N19" i="83"/>
  <c r="N20" i="83"/>
  <c r="N21" i="83"/>
  <c r="N22" i="83"/>
  <c r="N23" i="83"/>
  <c r="N24" i="83"/>
  <c r="N25" i="83"/>
  <c r="N26" i="83"/>
  <c r="N27" i="83"/>
  <c r="N28" i="83"/>
  <c r="N29" i="83"/>
  <c r="K8" i="83"/>
  <c r="K9" i="83"/>
  <c r="K10" i="83"/>
  <c r="K11" i="83"/>
  <c r="K12" i="83"/>
  <c r="K13" i="83"/>
  <c r="K14" i="83"/>
  <c r="K15" i="83"/>
  <c r="K16" i="83"/>
  <c r="K17" i="83"/>
  <c r="K18" i="83"/>
  <c r="K19" i="83"/>
  <c r="K20" i="83"/>
  <c r="K21" i="83"/>
  <c r="K22" i="83"/>
  <c r="K23" i="83"/>
  <c r="K24" i="83"/>
  <c r="K25" i="83"/>
  <c r="K26" i="83"/>
  <c r="K27" i="83"/>
  <c r="K28" i="83"/>
  <c r="K29" i="83"/>
  <c r="O29" i="39"/>
  <c r="N74" i="39" s="1"/>
  <c r="J10" i="4"/>
  <c r="O9" i="80"/>
  <c r="O7" i="80"/>
  <c r="U7" i="69"/>
  <c r="U42" i="39"/>
  <c r="T42" i="39"/>
  <c r="P42" i="39"/>
  <c r="O42" i="39"/>
  <c r="D7" i="69"/>
  <c r="A62" i="80"/>
  <c r="A66" i="80"/>
  <c r="A64" i="80"/>
  <c r="A63" i="80"/>
  <c r="A65" i="80"/>
  <c r="V35" i="39"/>
  <c r="Q35" i="39"/>
  <c r="B4" i="64"/>
  <c r="A186" i="80"/>
  <c r="A184" i="80"/>
  <c r="A182" i="80"/>
  <c r="A180" i="80"/>
  <c r="A178" i="80"/>
  <c r="A176" i="80"/>
  <c r="A174" i="80"/>
  <c r="A172" i="80"/>
  <c r="A170" i="80"/>
  <c r="A168" i="80"/>
  <c r="A166" i="80"/>
  <c r="A164" i="80"/>
  <c r="A162" i="80"/>
  <c r="A160" i="80"/>
  <c r="A158" i="80"/>
  <c r="A156" i="80"/>
  <c r="A154" i="80"/>
  <c r="A152" i="80"/>
  <c r="A150" i="80"/>
  <c r="A148" i="80"/>
  <c r="A146" i="80"/>
  <c r="A144" i="80"/>
  <c r="A142" i="80"/>
  <c r="A140" i="80"/>
  <c r="A138" i="80"/>
  <c r="A136" i="80"/>
  <c r="A134" i="80"/>
  <c r="A132" i="80"/>
  <c r="A130" i="80"/>
  <c r="A128" i="80"/>
  <c r="A126" i="80"/>
  <c r="A124" i="80"/>
  <c r="A122" i="80"/>
  <c r="A120" i="80"/>
  <c r="A118" i="80"/>
  <c r="A116" i="80"/>
  <c r="A114" i="80"/>
  <c r="A112" i="80"/>
  <c r="A110" i="80"/>
  <c r="A108" i="80"/>
  <c r="A106" i="80"/>
  <c r="A104" i="80"/>
  <c r="A102" i="80"/>
  <c r="A100" i="80"/>
  <c r="A98" i="80"/>
  <c r="A96" i="80"/>
  <c r="A185" i="80"/>
  <c r="A183" i="80"/>
  <c r="A181" i="80"/>
  <c r="A179" i="80"/>
  <c r="A177" i="80"/>
  <c r="A175" i="80"/>
  <c r="A173" i="80"/>
  <c r="A171" i="80"/>
  <c r="A169" i="80"/>
  <c r="A167" i="80"/>
  <c r="A165" i="80"/>
  <c r="A163" i="80"/>
  <c r="A161" i="80"/>
  <c r="A159" i="80"/>
  <c r="A157" i="80"/>
  <c r="A155" i="80"/>
  <c r="A153" i="80"/>
  <c r="A151" i="80"/>
  <c r="A149" i="80"/>
  <c r="A147" i="80"/>
  <c r="A145" i="80"/>
  <c r="A143" i="80"/>
  <c r="A141" i="80"/>
  <c r="A139" i="80"/>
  <c r="A137" i="80"/>
  <c r="A135" i="80"/>
  <c r="A133" i="80"/>
  <c r="A131" i="80"/>
  <c r="A129" i="80"/>
  <c r="A127" i="80"/>
  <c r="A125" i="80"/>
  <c r="A123" i="80"/>
  <c r="A121" i="80"/>
  <c r="A119" i="80"/>
  <c r="A117" i="80"/>
  <c r="A115" i="80"/>
  <c r="A113" i="80"/>
  <c r="A111" i="80"/>
  <c r="A109" i="80"/>
  <c r="A107" i="80"/>
  <c r="A105" i="80"/>
  <c r="A103" i="80"/>
  <c r="A101" i="80"/>
  <c r="A99" i="80"/>
  <c r="A97" i="80"/>
  <c r="A95" i="80"/>
  <c r="A94" i="80"/>
  <c r="A90" i="80"/>
  <c r="A86" i="80"/>
  <c r="A82" i="80"/>
  <c r="A78" i="80"/>
  <c r="A74" i="80"/>
  <c r="A70" i="80"/>
  <c r="A92" i="80"/>
  <c r="A88" i="80"/>
  <c r="A84" i="80"/>
  <c r="A80" i="80"/>
  <c r="A76" i="80"/>
  <c r="A72" i="80"/>
  <c r="A68" i="80"/>
  <c r="A91" i="80"/>
  <c r="A87" i="80"/>
  <c r="A83" i="80"/>
  <c r="A79" i="80"/>
  <c r="A75" i="80"/>
  <c r="A71" i="80"/>
  <c r="A67" i="80"/>
  <c r="A93" i="80"/>
  <c r="A89" i="80"/>
  <c r="A85" i="80"/>
  <c r="A81" i="80"/>
  <c r="A77" i="80"/>
  <c r="A73" i="80"/>
  <c r="A69" i="80"/>
  <c r="A2" i="83"/>
  <c r="F27" i="120"/>
  <c r="C24" i="129" l="1"/>
  <c r="Q42" i="39"/>
  <c r="V42" i="39"/>
  <c r="AC10" i="64"/>
  <c r="AD10" i="64"/>
  <c r="J3" i="127"/>
  <c r="J2" i="127"/>
  <c r="H3" i="126"/>
  <c r="H2" i="126"/>
  <c r="J3" i="121"/>
  <c r="J2" i="121"/>
  <c r="H3" i="125"/>
  <c r="H2" i="125"/>
  <c r="I4" i="120"/>
  <c r="I3" i="120"/>
  <c r="C27" i="129" l="1"/>
  <c r="D19" i="129"/>
  <c r="F56" i="120"/>
  <c r="D24" i="129" l="1"/>
  <c r="F19" i="129"/>
  <c r="K19" i="129" s="1"/>
  <c r="F10" i="97" s="1"/>
  <c r="D27" i="129" l="1"/>
  <c r="F24" i="129"/>
  <c r="F27" i="129" l="1"/>
  <c r="K27" i="129" s="1"/>
  <c r="K29" i="129" s="1"/>
  <c r="K24" i="129"/>
</calcChain>
</file>

<file path=xl/sharedStrings.xml><?xml version="1.0" encoding="utf-8"?>
<sst xmlns="http://schemas.openxmlformats.org/spreadsheetml/2006/main" count="3715" uniqueCount="1703">
  <si>
    <t>Status</t>
  </si>
  <si>
    <t xml:space="preserve">LFA Comments/Analysis </t>
  </si>
  <si>
    <t>1. Anti-malaria medicines</t>
  </si>
  <si>
    <t>4. Condoms</t>
  </si>
  <si>
    <t>5. Anti-retrovirals</t>
  </si>
  <si>
    <t>Yes</t>
  </si>
  <si>
    <t>No</t>
  </si>
  <si>
    <t>Program management (including SR management)</t>
  </si>
  <si>
    <t>Financial management and systems</t>
  </si>
  <si>
    <t>Monitoring and evaluation</t>
  </si>
  <si>
    <t>Pharmaceutical &amp; health product management</t>
  </si>
  <si>
    <t>Other management issues, including: PR capacity to develop quality programmatic and financial reports</t>
  </si>
  <si>
    <t>2. Bed nets</t>
  </si>
  <si>
    <t>Verified Result</t>
  </si>
  <si>
    <t>- used to convert Total PR Cash Outflow for the Progress Update Period</t>
  </si>
  <si>
    <t>Rates used by the PR</t>
  </si>
  <si>
    <t>LFA-verified rates</t>
  </si>
  <si>
    <t>Cumulative Budget through period of Progress Update</t>
  </si>
  <si>
    <t>Country:</t>
  </si>
  <si>
    <t xml:space="preserve">LFA comments on (a) verified result, (b) source of information used by the PR to report results, including the status of completion of surveys and other methods to measure Impact/Outcome, as applicable,  </t>
  </si>
  <si>
    <t>Current Reporting Period</t>
  </si>
  <si>
    <t>Category</t>
  </si>
  <si>
    <t>Cumulative Budget</t>
  </si>
  <si>
    <t>-</t>
  </si>
  <si>
    <t>Verification Method</t>
  </si>
  <si>
    <t>GENERAL GRANT INFORMATION</t>
  </si>
  <si>
    <t>Required Documentation</t>
  </si>
  <si>
    <t>Comments</t>
  </si>
  <si>
    <t>- used to convert Closing Cash Balance</t>
  </si>
  <si>
    <t>LFA Comments</t>
  </si>
  <si>
    <t>Report Due Date</t>
  </si>
  <si>
    <t>Comments on results on Impact/Outcome indicators and data sources, and any other comments</t>
  </si>
  <si>
    <t>PR's response</t>
  </si>
  <si>
    <t>LFA's response</t>
  </si>
  <si>
    <t>Reporting Currency</t>
  </si>
  <si>
    <t>PQR Product Categories</t>
  </si>
  <si>
    <t xml:space="preserve">DISBURSEMENT REQUEST </t>
  </si>
  <si>
    <t>Principal Recipient:</t>
  </si>
  <si>
    <t>Currency:</t>
  </si>
  <si>
    <t>Beginning Date:</t>
  </si>
  <si>
    <t>Budget for Reporting Period</t>
  </si>
  <si>
    <t>Variance</t>
  </si>
  <si>
    <t>Reason for Variance</t>
  </si>
  <si>
    <t xml:space="preserve">    1b. Disbursements to sub-recipients</t>
  </si>
  <si>
    <t>Less:</t>
  </si>
  <si>
    <t>Signed on behalf of the Principal Recipient:
(signature of Authorized Designated Representative)</t>
  </si>
  <si>
    <t>Select</t>
  </si>
  <si>
    <t>End Date:</t>
  </si>
  <si>
    <t>Name:</t>
  </si>
  <si>
    <t>Title:</t>
  </si>
  <si>
    <t>Date and Place:</t>
  </si>
  <si>
    <t>Program Start Date:</t>
  </si>
  <si>
    <t>Disbursement Request  - Period Covered:</t>
  </si>
  <si>
    <t xml:space="preserve">Impact / Outcome </t>
  </si>
  <si>
    <t>B.  Planned Changes in the Program, if any</t>
  </si>
  <si>
    <t>C.  External factors beyond the control of the Principal Recipient that have impacted or may impact the Program</t>
  </si>
  <si>
    <t>C.  LFA Comments on External Factors Beyond Control of the Principal Recipients that have impacted or may impact program</t>
  </si>
  <si>
    <t>PR Comments on Progress of Implementation</t>
  </si>
  <si>
    <t>Baseline 
(if applicable)</t>
  </si>
  <si>
    <t>Year of Target</t>
  </si>
  <si>
    <t>Total</t>
  </si>
  <si>
    <t xml:space="preserve">Targets cumulative?
</t>
  </si>
  <si>
    <t xml:space="preserve">1a.  Has the PR updated the Price Quality Reporting (PQR) with the required information on the pharmaceuticals and health products received during the period covered by this PU/DR’ (if applicable)?  (If health products procurement information has not been entered into the PQR, please explain why in comments box)    </t>
  </si>
  <si>
    <t>Value of  products received during reporting period</t>
  </si>
  <si>
    <t>Indicator rating</t>
  </si>
  <si>
    <t>Any major management issues resulting in downgrade?</t>
  </si>
  <si>
    <t>Overall Grant Rating</t>
  </si>
  <si>
    <t xml:space="preserve">Name of local currency, date and source of the exchange rate, and other comments (if appropriate) </t>
  </si>
  <si>
    <t>Value of products entered by the PR and verified as correct by the LFA in the PQR during reporting period</t>
  </si>
  <si>
    <t>Module</t>
  </si>
  <si>
    <t>Principal Recipient</t>
  </si>
  <si>
    <t>As verified by LFA</t>
  </si>
  <si>
    <t>The Global Fund Validated Figures</t>
  </si>
  <si>
    <t>Cash Balance: Beginning of the Period</t>
  </si>
  <si>
    <t xml:space="preserve">Add: </t>
  </si>
  <si>
    <t>Interest received on bank accounts</t>
  </si>
  <si>
    <t>Revenue from income-generating activities (if applicable)</t>
  </si>
  <si>
    <t>Other income, if applicable (e.g. VAT/Other Tax returns, income from disposal of assets etc.)</t>
  </si>
  <si>
    <t>Other reconciliation adjustments (including for prior periods)</t>
  </si>
  <si>
    <t>Net exchange gains/losses on translation of balances</t>
  </si>
  <si>
    <t>Cash in Transit for the reporting period</t>
  </si>
  <si>
    <t>Cash in Transit after the current reporting period</t>
  </si>
  <si>
    <t>* Includes interest income, income generating activites etc.</t>
  </si>
  <si>
    <t>Budget Vs Actual Variances</t>
  </si>
  <si>
    <t>Absorption Capacity</t>
  </si>
  <si>
    <t>Explanation of Variances (mandatory for all percentages below 95% &amp; above 105%</t>
  </si>
  <si>
    <t>Grand Total</t>
  </si>
  <si>
    <t>Costing Dimension (Cost Grouping)</t>
  </si>
  <si>
    <t>Modular Approach - Interventions</t>
  </si>
  <si>
    <t xml:space="preserve">Validation of Grand Total </t>
  </si>
  <si>
    <t>Impact/Outcome</t>
  </si>
  <si>
    <t>Target</t>
  </si>
  <si>
    <t>Results</t>
  </si>
  <si>
    <t>Disaggregation</t>
  </si>
  <si>
    <t>Total for the Reporting Period</t>
  </si>
  <si>
    <t>N#</t>
  </si>
  <si>
    <t>D#</t>
  </si>
  <si>
    <t>%</t>
  </si>
  <si>
    <t>Verified Results</t>
  </si>
  <si>
    <t>Baseline</t>
  </si>
  <si>
    <t>Section 4:  Grant Management</t>
  </si>
  <si>
    <t>For the Global Fund Use Only</t>
  </si>
  <si>
    <t>For LFA Use Only</t>
  </si>
  <si>
    <t>3. LFA analysis of issues related to the procurement and supply management of pharmaceuticals and health products</t>
  </si>
  <si>
    <r>
      <t xml:space="preserve">! </t>
    </r>
    <r>
      <rPr>
        <sz val="13"/>
        <rFont val="Georgia"/>
        <family val="1"/>
      </rPr>
      <t>Please indicate a date for the report due for submission.  If a report is overdue, indicate the original due date and explain the reason for delay.</t>
    </r>
  </si>
  <si>
    <r>
      <t xml:space="preserve">! </t>
    </r>
    <r>
      <rPr>
        <sz val="11"/>
        <color indexed="53"/>
        <rFont val="Georgia"/>
        <family val="1"/>
      </rPr>
      <t xml:space="preserve"> </t>
    </r>
    <r>
      <rPr>
        <sz val="11"/>
        <rFont val="Georgia"/>
        <family val="1"/>
      </rPr>
      <t>The self-evaluation should be undertaken by taking into account programmatic achievements, financial performance and program issues in various functional areas (M&amp;E, Finance, Procurement, and Program Management, including management of Sub-Recipients).  See Guidelines for more detailed guidance.</t>
    </r>
    <r>
      <rPr>
        <b/>
        <sz val="11"/>
        <color indexed="12"/>
        <rFont val="Arial"/>
        <family val="2"/>
      </rPr>
      <t/>
    </r>
  </si>
  <si>
    <t>A. LFA  Overall Evaluation and Rating of Grant Performance (including a summary of how financial performance is linked to programmatic achievements)</t>
  </si>
  <si>
    <r>
      <rPr>
        <b/>
        <sz val="14"/>
        <color indexed="12"/>
        <rFont val="Georgia"/>
        <family val="1"/>
      </rPr>
      <t>!</t>
    </r>
    <r>
      <rPr>
        <sz val="14"/>
        <rFont val="Georgia"/>
        <family val="1"/>
      </rPr>
      <t xml:space="preserve"> Based on the information provided in the previous sections and your understanding of the grant, please summarise any </t>
    </r>
    <r>
      <rPr>
        <u/>
        <sz val="14"/>
        <rFont val="Georgia"/>
        <family val="1"/>
      </rPr>
      <t>important</t>
    </r>
    <r>
      <rPr>
        <sz val="14"/>
        <rFont val="Georgia"/>
        <family val="1"/>
      </rPr>
      <t xml:space="preserve"> management issues, proposing a recommendation for each.
</t>
    </r>
    <r>
      <rPr>
        <b/>
        <sz val="14"/>
        <color indexed="12"/>
        <rFont val="Georgia"/>
        <family val="1"/>
      </rPr>
      <t xml:space="preserve">NB: an issue is considered as 'important' if it impacts or is likely to impact program implementation and results.  </t>
    </r>
    <r>
      <rPr>
        <b/>
        <sz val="14"/>
        <rFont val="Georgia"/>
        <family val="1"/>
      </rPr>
      <t xml:space="preserve">  </t>
    </r>
    <r>
      <rPr>
        <sz val="14"/>
        <rFont val="Georgia"/>
        <family val="1"/>
      </rPr>
      <t xml:space="preserve">                                                                                                                                                                                                      </t>
    </r>
    <r>
      <rPr>
        <sz val="14"/>
        <color indexed="12"/>
        <rFont val="Georgia"/>
        <family val="1"/>
      </rPr>
      <t xml:space="preserve">! </t>
    </r>
    <r>
      <rPr>
        <sz val="14"/>
        <rFont val="Georgia"/>
        <family val="1"/>
      </rPr>
      <t>Instead of repeating detailed descriptions of issues covered in other sections, it is acceptable to state the issue and reference the section containing the details.</t>
    </r>
  </si>
  <si>
    <t xml:space="preserve">Section 6: LFA Findings &amp; Recommendations  </t>
  </si>
  <si>
    <t>Total forecasted net cash expenditures by the Principal Recipient for the period immediately following the period covered by the Progress Update:</t>
  </si>
  <si>
    <t>The undersigned acknowledges that: (i) all the information (programmatic, financial, or otherwise) provided in this Progress Update and Disbursement Request is complete and accurate; (ii) funds disbursed in accordance with this request shall be deposited in the bank account specified in the Core Data Forms; and (iii) funds disbursed under the Grant Agreement shall be used in accordance with the Grant Agreement.</t>
  </si>
  <si>
    <t>The LFA should sign a printed version of the verified PU/DR and send it to the Secretariat as a pdf file by email, or include an electronic signature in the Excel file to be submitted to the Global Fund.</t>
  </si>
  <si>
    <t>Signed on behalf of the LFA:</t>
  </si>
  <si>
    <t>Item No.</t>
  </si>
  <si>
    <t>LFA Adjustments</t>
  </si>
  <si>
    <t xml:space="preserve">For LFA Use Only </t>
  </si>
  <si>
    <t>Description</t>
  </si>
  <si>
    <t xml:space="preserve">Disbursement to third parties by the Global Fund on behalf of the Principal Recipient </t>
  </si>
  <si>
    <t>A. Principal Recipient Cash Reconciliation Statement in Grant Currency</t>
  </si>
  <si>
    <t>Cumulative for Previous Periods</t>
  </si>
  <si>
    <t>Total Cash Balance</t>
  </si>
  <si>
    <t>B. Principal Recipient Bank Statement Balance &amp; Cash In Transit in Grant Currency</t>
  </si>
  <si>
    <t>Principal Recipient disbursement to sub-recipients</t>
  </si>
  <si>
    <t>Total Grant Income</t>
  </si>
  <si>
    <t xml:space="preserve">    2a.  Health Products- Pharmaceutical Products</t>
  </si>
  <si>
    <t xml:space="preserve">    2b.  Health Products - Non-Pharmaceuticals &amp; Equipment</t>
  </si>
  <si>
    <t>Principal Recipient Cash Balance as per bank statements (For Information Only):</t>
  </si>
  <si>
    <t>Principal Recipient Cash Balance</t>
  </si>
  <si>
    <t>Sub-Recipient Cash Balance</t>
  </si>
  <si>
    <t>Procurement data for analytical purposes</t>
  </si>
  <si>
    <t>Actual Grant Expenditure - Cash Basis for Reporting Period</t>
  </si>
  <si>
    <t>Cumulative Actual Grant Expenditure - Cash Basis through period of Progress Update</t>
  </si>
  <si>
    <t>Local Fund Agent (LFA)</t>
  </si>
  <si>
    <t>Cumulative for Previous Periods as validated by Global Fund</t>
  </si>
  <si>
    <t>Actual Expenditure</t>
  </si>
  <si>
    <t>2. Total pharmaceutical &amp; non-pharmaceutical incl. equipment expenditures vs. budget</t>
  </si>
  <si>
    <t>Cumulative for the Implementation Period</t>
  </si>
  <si>
    <t>Cumulative Actual Expenditure</t>
  </si>
  <si>
    <t>Cumulative Budget Vs Actuals Variances</t>
  </si>
  <si>
    <t>Budget for the Buffer Period</t>
  </si>
  <si>
    <t>Actual Grant Cash Out-Flow - Cash Basis for Reporting Period</t>
  </si>
  <si>
    <t>Cumulative Actual Grant Cash-Outflow - Cash Basis through period of Progress Update</t>
  </si>
  <si>
    <t>Country Team Adjustments (incl. External Audit adjustments)</t>
  </si>
  <si>
    <t xml:space="preserve">For Local Fund Agent Use Only </t>
  </si>
  <si>
    <t>(1) 
Sub-Recipient Name</t>
  </si>
  <si>
    <t>(3) 
Sub-Recipient Open Advances at Principal Recipient Level</t>
  </si>
  <si>
    <t>1. Total Principal Recipient cash outflow vs. budget</t>
  </si>
  <si>
    <t>Grant Name:</t>
  </si>
  <si>
    <t>(Disease) Component</t>
  </si>
  <si>
    <t>Explanation of Variances (mandatory for all percentages below 95% &amp; above 105%)</t>
  </si>
  <si>
    <t>Total Principal Recipient Forecast (including Buffer)</t>
  </si>
  <si>
    <t>Local Fund Agent - Adjusted Forecast (including the buffer)</t>
  </si>
  <si>
    <t>Bank charges on disbursements and payments</t>
  </si>
  <si>
    <t>Ineligible transactions from previous periods for which justification was approved by the Global Fund</t>
  </si>
  <si>
    <t>Reimbursement of ineligible transactions from previous periods</t>
  </si>
  <si>
    <t>Ineligible transactions validated for the reporting period</t>
  </si>
  <si>
    <t>Cumulative ineligible transactions for the implementation period</t>
  </si>
  <si>
    <t>Open ineligible transactions to be justified and/or reimbursed</t>
  </si>
  <si>
    <t>(2) 
 Cumulative Sub-Recipient expenses for prior periods at Principal Recipient level</t>
  </si>
  <si>
    <t>Section 3B: LFA-Verified Procurement and Supply Management Information</t>
  </si>
  <si>
    <t>LFA comments on PR's explanation of any significant variance between forecasted amounts and amounts as originally budgeted.</t>
  </si>
  <si>
    <t>LFA comments on the exchange rates used by the PR</t>
  </si>
  <si>
    <t>Section 2: Financial Information</t>
  </si>
  <si>
    <t>CT Adjustments (incl. External Audit adjustments)</t>
  </si>
  <si>
    <t>Principal Recipient Expenditure (including payments and other advance payments)</t>
  </si>
  <si>
    <t>Total Grant Cash Outflows</t>
  </si>
  <si>
    <t>CT Adjustments</t>
  </si>
  <si>
    <t>Reimbursement of ineligible transaction from previous periods</t>
  </si>
  <si>
    <t>Section 1:  Programmatic Information</t>
  </si>
  <si>
    <t>A- Impact/Outcome Indicators</t>
  </si>
  <si>
    <t>Section 1: Programmatic Information</t>
  </si>
  <si>
    <t>A- Impact/Outcome Indicators - Disaggregation</t>
  </si>
  <si>
    <t>B- Coverage Indicators</t>
  </si>
  <si>
    <t>B- Coverage Indicators - Disaggregation</t>
  </si>
  <si>
    <t>C- Workplan Tracking Measures</t>
  </si>
  <si>
    <t>Reasons for Variance</t>
  </si>
  <si>
    <t>Key Pharmaceuticals &amp; Health Products</t>
  </si>
  <si>
    <t>Risk of Stock-Out</t>
  </si>
  <si>
    <t>Risk of Expiry</t>
  </si>
  <si>
    <t>6. Anti-TB medicines</t>
  </si>
  <si>
    <t>7. Lab supplies (e.g. CD4, Viral Load, Cartridges…)</t>
  </si>
  <si>
    <t>3.  Comment on additional issues related to the procurement and supply management of pharmaceuticals and health products.</t>
  </si>
  <si>
    <t>B.  PR &amp; LFA Review of Progress on Implementation of Outstanding Management Actions from Previous Disbursements</t>
  </si>
  <si>
    <t>C.  Comments on Annual Grant Reporting Requirements</t>
  </si>
  <si>
    <r>
      <t>!</t>
    </r>
    <r>
      <rPr>
        <sz val="12"/>
        <rFont val="Georgia"/>
        <family val="1"/>
      </rPr>
      <t xml:space="preserve"> Please list all issues raised in the last Performance Letter from the Global Fund or outstanding from previous Performance Letters, and comment on the progress. Please include the date of the Performance Letter and the item number.</t>
    </r>
  </si>
  <si>
    <t>Budget for Forecast Period</t>
  </si>
  <si>
    <t>Summary Breakdown by Cost Grouping</t>
  </si>
  <si>
    <t>Section 8B.  Disbursement Request and Recommendation</t>
  </si>
  <si>
    <t>Summary of the LFA's approach used for verification of financial, programmatic and procurement data and Quality Assurance undertaken by the LFA</t>
  </si>
  <si>
    <t>In this section the LFA should indicate, as applicable, what percentage of expenditures was verified at PR level, if any expenditures were verified at SR level, how many site visits were made, what tender documentation was verified, and any other material parts of verification procedures in line with the verification approach agreed upfront between the LFA and the Global Fund's Secretariat based on country/grant risks.  As a good practice, the verification approach needs to be reviewed jointly by the LFA and the Secretariat annually.</t>
  </si>
  <si>
    <t>2. Grant Income</t>
  </si>
  <si>
    <t>3. Grant Cash Outflows</t>
  </si>
  <si>
    <t>4. Reconciling Adjustments</t>
  </si>
  <si>
    <t>5. Total Cash Balances: End of the reporting period</t>
  </si>
  <si>
    <t>Section 9B.  LFA Authorization</t>
  </si>
  <si>
    <t>Grant Name/Number:</t>
  </si>
  <si>
    <r>
      <t xml:space="preserve">Baseline 
</t>
    </r>
    <r>
      <rPr>
        <sz val="12"/>
        <rFont val="Georgia"/>
        <family val="1"/>
      </rPr>
      <t>(if applicable)</t>
    </r>
  </si>
  <si>
    <t>Progress Status</t>
  </si>
  <si>
    <t>Not Started</t>
  </si>
  <si>
    <t>Started</t>
  </si>
  <si>
    <t>Advancing</t>
  </si>
  <si>
    <t>Completed</t>
  </si>
  <si>
    <t xml:space="preserve">    1a. Principal Recipient's total expenditures (including any direct-disbursements to third-parties)</t>
  </si>
  <si>
    <t>2. Total pharmaceutical &amp; non-pharmaceutical incl. equipment expenditures vs.    budget</t>
  </si>
  <si>
    <t xml:space="preserve">LFA comments on the Principal Recipient's explanation of variances </t>
  </si>
  <si>
    <t xml:space="preserve">LFA comments on thePrincipal Recipient's explanation of variances </t>
  </si>
  <si>
    <t>Modular Approach - Modules</t>
  </si>
  <si>
    <t>Validated Result</t>
  </si>
  <si>
    <t>Country Team comments on validated results</t>
  </si>
  <si>
    <t>Validated Results</t>
  </si>
  <si>
    <t>Country Team Comments on Validated Score</t>
  </si>
  <si>
    <t>Country Team Comments</t>
  </si>
  <si>
    <t>Country Team Comments of PR Progress on Global Fund Management Actions</t>
  </si>
  <si>
    <t>Validate Status</t>
  </si>
  <si>
    <t>LFA comments on the Principal Recipient's explanation of variances</t>
  </si>
  <si>
    <t xml:space="preserve">Disbursement made to the Principal Recipient </t>
  </si>
  <si>
    <t>Geographic Area</t>
  </si>
  <si>
    <t>Validated Score</t>
  </si>
  <si>
    <t>8. Other (Please specify in the "Comment" column)</t>
  </si>
  <si>
    <r>
      <t xml:space="preserve">1.  Have you updated the Price Quality Reporting (PQR) with the required information on the pharmaceuticals and health products received during the period covered by this PU/DR’ (if applicable)?  If health products procurement information has not been entered into the PQR, please explain why.
</t>
    </r>
    <r>
      <rPr>
        <b/>
        <sz val="12"/>
        <color indexed="12"/>
        <rFont val="Georgia"/>
        <family val="1"/>
      </rPr>
      <t>!</t>
    </r>
    <r>
      <rPr>
        <sz val="12"/>
        <rFont val="Georgia"/>
        <family val="1"/>
      </rPr>
      <t xml:space="preserve">  For further guidance on PQR data entry, please refer to the guidelines.</t>
    </r>
  </si>
  <si>
    <r>
      <t>(!)</t>
    </r>
    <r>
      <rPr>
        <sz val="12"/>
        <rFont val="Georgia"/>
        <family val="1"/>
      </rPr>
      <t xml:space="preserve"> This table is included in the PU/DR form with the aim to improve completeness of information in the PQR system and not for comparing PQR amounts vis-à-vis expenditure per se. NB: PQR and expenditure amounts on health products may not be equal due to a timelag between payments and delivery of pharmaceuticals/health products.
</t>
    </r>
    <r>
      <rPr>
        <b/>
        <sz val="12"/>
        <color indexed="12"/>
        <rFont val="Georgia"/>
        <family val="1"/>
      </rPr>
      <t>(!)</t>
    </r>
    <r>
      <rPr>
        <sz val="12"/>
        <rFont val="Georgia"/>
        <family val="1"/>
      </rPr>
      <t xml:space="preserve">  For further guidance on PQR data entry, please refer to the guidelines.</t>
    </r>
  </si>
  <si>
    <r>
      <t xml:space="preserve"> 2. Based on best information available to the LFA, are there any risks of drug stock-out or expiries at the central level in the next period of implementation?  (If yes, please explain in comments box)
</t>
    </r>
    <r>
      <rPr>
        <sz val="12"/>
        <rFont val="Georgia"/>
        <family val="1"/>
      </rPr>
      <t>! This section should be completed by the LFA based on best information on stock at the central level available to the LFA and should not require dedicated visits for on-site checks of stocks.</t>
    </r>
  </si>
  <si>
    <t>Due date
(dd-mmm-yy)</t>
  </si>
  <si>
    <t>(4) 
Disbursements made by Principal Recipient during the Reporting Period</t>
  </si>
  <si>
    <t xml:space="preserve">(5) 
Other Income* during the Reporting Period </t>
  </si>
  <si>
    <t>(6) 
Expenditure validated by Principal Recipient during the Reporting Period</t>
  </si>
  <si>
    <t>Comments:
Reasons for programmatic deviation from intended target and deviations from the related workplan activities</t>
  </si>
  <si>
    <r>
      <t xml:space="preserve">Comments:
LFA analysis on progress to date and any variance between targets and results, and any other comments
</t>
    </r>
    <r>
      <rPr>
        <sz val="12"/>
        <rFont val="Georgia"/>
        <family val="1"/>
      </rPr>
      <t>(this should not be a “Copy and Paste” of the reasons provided by the PR)</t>
    </r>
  </si>
  <si>
    <t>Year of Result</t>
  </si>
  <si>
    <t>3. In-Vitro Diagnostic Products</t>
  </si>
  <si>
    <t>7. Indoor Residual Spraying (IRS)</t>
  </si>
  <si>
    <t>LFA Name:</t>
  </si>
  <si>
    <t>Result</t>
  </si>
  <si>
    <t>As At End of Current Period</t>
  </si>
  <si>
    <t>LFA Adjustments on Current Reporting Period</t>
  </si>
  <si>
    <t>Comment (if yes, please provide information on the specific items that are at risk of stock-out or expiry and the mitigation measures in place or to be implemented)</t>
  </si>
  <si>
    <t>Achievement Ratio</t>
  </si>
  <si>
    <t>A.  PR and LFA Comments on the Fulfilment of Grant Requirements</t>
  </si>
  <si>
    <t>Disbursement Request Amount:</t>
  </si>
  <si>
    <t>Disbursement Recommendation Amount:</t>
  </si>
  <si>
    <t xml:space="preserve">D. Principal Recipient Ineligible Transactions in Grant Currency </t>
  </si>
  <si>
    <t>Summary Breakdown by Interventions</t>
  </si>
  <si>
    <t>Principal Recipient Reporting</t>
  </si>
  <si>
    <t>Principal Recipient Reporting - Period Covered:</t>
  </si>
  <si>
    <t>Section 3A:  Principal Recipient - Procurement and Supply Management</t>
  </si>
  <si>
    <r>
      <rPr>
        <b/>
        <sz val="12"/>
        <color indexed="12"/>
        <rFont val="Georgia"/>
        <family val="1"/>
      </rPr>
      <t>!</t>
    </r>
    <r>
      <rPr>
        <sz val="12"/>
        <rFont val="Georgia"/>
        <family val="1"/>
      </rPr>
      <t xml:space="preserve"> Please include in this table the Grant Requirement number as per Grant Confirmation and full text of the requirement due for fulfilment during this period </t>
    </r>
    <r>
      <rPr>
        <u/>
        <sz val="12"/>
        <rFont val="Georgia"/>
        <family val="1"/>
      </rPr>
      <t>or</t>
    </r>
    <r>
      <rPr>
        <sz val="12"/>
        <rFont val="Georgia"/>
        <family val="1"/>
      </rPr>
      <t xml:space="preserve"> outstanding from previous periods. 
</t>
    </r>
    <r>
      <rPr>
        <b/>
        <sz val="12"/>
        <color indexed="12"/>
        <rFont val="Georgia"/>
        <family val="1"/>
      </rPr>
      <t>!</t>
    </r>
    <r>
      <rPr>
        <sz val="12"/>
        <color indexed="12"/>
        <rFont val="Georgia"/>
        <family val="1"/>
      </rPr>
      <t xml:space="preserve"> </t>
    </r>
    <r>
      <rPr>
        <sz val="12"/>
        <rFont val="Georgia"/>
        <family val="1"/>
      </rPr>
      <t>Some may apply to more than one period of grant implementation.  Their fulfilment during one period does not automatically imply fulfilment in subsequent periods.  The LFA should verify that the status of such Grant Requirements is reported by the Principal Recipient during each period concerned.</t>
    </r>
  </si>
  <si>
    <t>Section 5: Principal Recipient and LFA Evaluation of Overall Performance</t>
  </si>
  <si>
    <t>A.  Principal Recipient's Overall Self-Evaluation of Grant Performance (including a summary of how financial performance is linked to programmatic achievements)</t>
  </si>
  <si>
    <r>
      <t xml:space="preserve">! </t>
    </r>
    <r>
      <rPr>
        <sz val="11"/>
        <rFont val="Georgia"/>
        <family val="1"/>
      </rPr>
      <t xml:space="preserve"> The evaluation should be undertaken by taking into account programmatic achievements, financial performance and program issues in various functional areas (M&amp;E, Finance, Procurement, and Program Management, including management of Sub-Recipients).  See Guidelines for more detailed guidance on the completion of this section.</t>
    </r>
    <r>
      <rPr>
        <b/>
        <sz val="11"/>
        <color indexed="12"/>
        <rFont val="Georgia"/>
        <family val="1"/>
      </rPr>
      <t/>
    </r>
  </si>
  <si>
    <r>
      <t>B.  LFA comments on the Principal Recipient planned changes in the program, if any</t>
    </r>
    <r>
      <rPr>
        <sz val="11"/>
        <color indexed="9"/>
        <rFont val="Arial"/>
        <family val="2"/>
      </rPr>
      <t/>
    </r>
  </si>
  <si>
    <t>Grant Currency:</t>
  </si>
  <si>
    <t>REPORTING PERIOD FOR PROGRAMMATIC REPORTING</t>
  </si>
  <si>
    <t>REPORTING PERIOD FOR FINANCIAL REPORTING</t>
  </si>
  <si>
    <t>Finance related Conditions are not met or are partly met</t>
  </si>
  <si>
    <t>If answer to point 8 is "yes", the Annual Cash Forecast has been adjusted to take into consideration the past absorption</t>
  </si>
  <si>
    <t xml:space="preserve">Expenditure vs. Budget (in EFR/AFR) rate below 50% for the prior annual period. </t>
  </si>
  <si>
    <t>Presence of major issues identified with respect to the Financial Management and Systems Area</t>
  </si>
  <si>
    <t>Critical recommendations by auditors, OIG or the Global Fund on internal controls are not implemented or being addressed by the PR</t>
  </si>
  <si>
    <t>Inadequate explanation of significant variance (+/-10%) between budget and actual expenditures by intervention/Service Delivery Area and/or cost grouping/cost category linked to programmatic results</t>
  </si>
  <si>
    <t>Enhanced Financial Report/Annual Financial Report has not been fully completed or does not include all the grant's expenditures for the period</t>
  </si>
  <si>
    <t>Qualified, adverse or disclaimer of opinion received for the latest audit</t>
  </si>
  <si>
    <t>Audit Report overdue</t>
  </si>
  <si>
    <t>Cash balance not reconciled to the cash reconciliation and bank account with significant (+/-5%) and unexplained differences</t>
  </si>
  <si>
    <t>Answer</t>
  </si>
  <si>
    <t>Financial Triggers</t>
  </si>
  <si>
    <t>1b.  Value of Pharmaceuticals and Health Products in the PQR (7 categories only)</t>
  </si>
  <si>
    <t>Type of Recipient</t>
  </si>
  <si>
    <t>B. BREAKDOWN BY INTERVENTIONS</t>
  </si>
  <si>
    <t>C. BREAKDOWN BY IMPLEMENTING ENTITY</t>
  </si>
  <si>
    <t>Section 7A.The Principal Recipient Expenditure Report Completed by the Principal Recipient</t>
  </si>
  <si>
    <t>Section 7B.The Principal Recipient Expenditure Report Verified by the LFA</t>
  </si>
  <si>
    <t>Section 9A.  Principal Recipient Authorization</t>
  </si>
  <si>
    <t>Local Currency:</t>
  </si>
  <si>
    <t>[Name]</t>
  </si>
  <si>
    <t>Disbursement Request</t>
  </si>
  <si>
    <t>Last PR of Implementation Period</t>
  </si>
  <si>
    <t>[Tab Name]</t>
  </si>
  <si>
    <t>Tab Name</t>
  </si>
  <si>
    <t>[Opt In Disbursement Request]</t>
  </si>
  <si>
    <t>Opt In Disbursement Request</t>
  </si>
  <si>
    <t>[Opt-In Progress Update]</t>
  </si>
  <si>
    <t>Opt-In Progress Update</t>
  </si>
  <si>
    <t>[Opt-In Last PR of Implementation Period]</t>
  </si>
  <si>
    <t>Opt-In Last PR of Implementation Period</t>
  </si>
  <si>
    <t>Version</t>
  </si>
  <si>
    <t>Grant ID</t>
  </si>
  <si>
    <t>Reporting Period End Date</t>
  </si>
  <si>
    <t>[Impact]</t>
  </si>
  <si>
    <t>[Impact Indicator Name]</t>
  </si>
  <si>
    <t>[Custom Impact Indicator]</t>
  </si>
  <si>
    <t>[Baseline Value]</t>
  </si>
  <si>
    <t>[Baseline Year]</t>
  </si>
  <si>
    <t>[Year of Target]</t>
  </si>
  <si>
    <t>[Report Due Date]</t>
  </si>
  <si>
    <t>[Year of Result (PR)]</t>
  </si>
  <si>
    <t>[Data Source Result (PR)]</t>
  </si>
  <si>
    <t>[Comments (PR)]</t>
  </si>
  <si>
    <t>[Verification Method (LFA)]</t>
  </si>
  <si>
    <t>[Year of Result (LFA)]</t>
  </si>
  <si>
    <t>[Data Source Result (LFA)]</t>
  </si>
  <si>
    <t>[Comments (LFA)]</t>
  </si>
  <si>
    <t>[Outcome]</t>
  </si>
  <si>
    <t>Outcome</t>
  </si>
  <si>
    <t>[Outcome Indicator Name]</t>
  </si>
  <si>
    <t>[Custom Outcome Indicator]</t>
  </si>
  <si>
    <t>[Disaggregation]</t>
  </si>
  <si>
    <t>[Category]</t>
  </si>
  <si>
    <t>[Baseline Source]</t>
  </si>
  <si>
    <t>[Result Value (PR)]</t>
  </si>
  <si>
    <t>[Result Source (PR)]</t>
  </si>
  <si>
    <t>[Result Comments (PR)]</t>
  </si>
  <si>
    <t>[Verified Result Value (LFA)]</t>
  </si>
  <si>
    <t>[Verified Result Source (LFA)]</t>
  </si>
  <si>
    <t>[Verified Result Comments (LFA)]</t>
  </si>
  <si>
    <t>[Module Name]</t>
  </si>
  <si>
    <t>[Coverage Indicator Name]</t>
  </si>
  <si>
    <t>[Custom Coverage Indicator Name - EN]</t>
  </si>
  <si>
    <t>[Geographic Coverage]</t>
  </si>
  <si>
    <t>[Cumulation Type]</t>
  </si>
  <si>
    <t>[Baseline N#]</t>
  </si>
  <si>
    <t>[Baseline D#]</t>
  </si>
  <si>
    <t>[Baseline %]</t>
  </si>
  <si>
    <t>[Year]</t>
  </si>
  <si>
    <t>Year</t>
  </si>
  <si>
    <t>[Target N#]</t>
  </si>
  <si>
    <t>[Target D#]</t>
  </si>
  <si>
    <t>[Target %]</t>
  </si>
  <si>
    <t>[Result N#  (PR)]</t>
  </si>
  <si>
    <t>[Result D# (PR)]</t>
  </si>
  <si>
    <t>[Verified Result N# (LFA)]</t>
  </si>
  <si>
    <t>[Verified Result D# (LFA)]</t>
  </si>
  <si>
    <t>[Result N# (PR)]</t>
  </si>
  <si>
    <t>[Source (PR)]</t>
  </si>
  <si>
    <t>[LFA Source]</t>
  </si>
  <si>
    <t>[Result D# (LFA)]</t>
  </si>
  <si>
    <t>[Result N# (LFA)]</t>
  </si>
  <si>
    <t>Module Name</t>
  </si>
  <si>
    <t>[Intervention]</t>
  </si>
  <si>
    <t>Intervention</t>
  </si>
  <si>
    <t>[Key Activity]</t>
  </si>
  <si>
    <t>[Milestone / Target Description]</t>
  </si>
  <si>
    <t>[Criterion for Completion]</t>
  </si>
  <si>
    <t>Criterion for Completion</t>
  </si>
  <si>
    <t>[Milestone / Target]</t>
  </si>
  <si>
    <t>[Country]</t>
  </si>
  <si>
    <t>[Progress Status (PR)]</t>
  </si>
  <si>
    <t>[Reasons for Deviation (PR)]</t>
  </si>
  <si>
    <t>[Progress Status (LFA)]</t>
  </si>
  <si>
    <t>[Reasons for Deviation (LFA)]</t>
  </si>
  <si>
    <t>[Grant Requirements]</t>
  </si>
  <si>
    <t>Grant Requirements</t>
  </si>
  <si>
    <t>[Status (PR)]</t>
  </si>
  <si>
    <t>[Comments-progress of implementation (PR)]</t>
  </si>
  <si>
    <t>[Status (LFA)]</t>
  </si>
  <si>
    <t>[Analysis (LFA)]</t>
  </si>
  <si>
    <t>[Record ID]</t>
  </si>
  <si>
    <t>Record ID</t>
  </si>
  <si>
    <t>Value</t>
  </si>
  <si>
    <t>Source</t>
  </si>
  <si>
    <t>If sub-national, please specify under the "Comments" Column</t>
  </si>
  <si>
    <t>Activity</t>
  </si>
  <si>
    <t>Activity details- milestones/ targets</t>
  </si>
  <si>
    <t xml:space="preserve">Milestones/Target for the Current Period </t>
  </si>
  <si>
    <t>Country (relevant for multi-country grants)</t>
  </si>
  <si>
    <t>Reasons for deviation from workplan activities and milestones</t>
  </si>
  <si>
    <t>Verified Score</t>
  </si>
  <si>
    <t>LFA Analysis
(this should not be a ""Copy and Paste"" of the comments provided by the PR)</t>
  </si>
  <si>
    <t>Score</t>
  </si>
  <si>
    <t>Custom Intervention</t>
  </si>
  <si>
    <t>[Custom Intervention]</t>
  </si>
  <si>
    <t>[Verified Result N#  (LFA)]</t>
  </si>
  <si>
    <t>Financial Period Start Date</t>
  </si>
  <si>
    <t>PQR Response (PR)</t>
  </si>
  <si>
    <t>PQR Response (LFA)</t>
  </si>
  <si>
    <t>[GF Management Actions]</t>
  </si>
  <si>
    <t>[Comments on Progress (LFA)]</t>
  </si>
  <si>
    <t>[Description of identified Issues]</t>
  </si>
  <si>
    <t>[LFA Recomendations]</t>
  </si>
  <si>
    <t>IP ID</t>
  </si>
  <si>
    <t>Functional Areas</t>
  </si>
  <si>
    <t>Record Type</t>
  </si>
  <si>
    <t>Record Type ID</t>
  </si>
  <si>
    <t>IP Id</t>
  </si>
  <si>
    <t>Record Type Id</t>
  </si>
  <si>
    <t>Description of Identified Issues 
(in order of importance)</t>
  </si>
  <si>
    <t>LFA Recommendations 
(in order of importance)</t>
  </si>
  <si>
    <t>[Budget for Reporting Period]</t>
  </si>
  <si>
    <t>[Cumulative Budget]</t>
  </si>
  <si>
    <t>[PR Actual Expenditure]</t>
  </si>
  <si>
    <t>[PR Cumulative Expenditures]</t>
  </si>
  <si>
    <t>[LFA Adjustment on Expenditures]</t>
  </si>
  <si>
    <t>[LFA Cumulative Expenditures]</t>
  </si>
  <si>
    <t>Quantitative Indicator (LFA)</t>
  </si>
  <si>
    <t>Major Issues Identified (LFA)</t>
  </si>
  <si>
    <t>Overall Rating (LFA)</t>
  </si>
  <si>
    <t>Local Fund Agent Adjustment on Expenditures</t>
  </si>
  <si>
    <t>Global Fund Management Actions</t>
  </si>
  <si>
    <t xml:space="preserve">LFA Review of PR Progress on Global Fund Management Actions </t>
  </si>
  <si>
    <t>Due date 
(dd-mmm-yy)</t>
  </si>
  <si>
    <r>
      <t xml:space="preserve">Sheet </t>
    </r>
    <r>
      <rPr>
        <b/>
        <sz val="10"/>
        <rFont val="Arial"/>
        <family val="2"/>
      </rPr>
      <t>LFA_Findings&amp;Recommendations_6</t>
    </r>
  </si>
  <si>
    <t>[Module]</t>
  </si>
  <si>
    <t>Type of Implementing Entity</t>
  </si>
  <si>
    <t>Implementing Entity</t>
  </si>
  <si>
    <t>Expiry Response (LFA)</t>
  </si>
  <si>
    <t>Stock Out Response (LFA)</t>
  </si>
  <si>
    <t>[Report Year]</t>
  </si>
  <si>
    <t>Disaggregation Report Year</t>
  </si>
  <si>
    <t>Being Uploaded from PR Template</t>
  </si>
  <si>
    <t>[Full Type]</t>
  </si>
  <si>
    <t>Met</t>
  </si>
  <si>
    <t>PR Audit Report</t>
  </si>
  <si>
    <t>Annual Financial Report (AFR) / Enhanced Financial Report (EFR)</t>
  </si>
  <si>
    <t>Waived</t>
  </si>
  <si>
    <t>In Progress</t>
  </si>
  <si>
    <t xml:space="preserve">Actual Expenditure </t>
  </si>
  <si>
    <t>[Implementing Entity to display]</t>
  </si>
  <si>
    <t>Principal Recipient Reconciliation of funds provided to Sub-Recipients for the Current Implementation Period</t>
  </si>
  <si>
    <t>Total Principal Recipient Budget Variance and Funding Absorption Analysis</t>
  </si>
  <si>
    <t>E. Total Principal Recipient Budget Variance and Absorption Analysis</t>
  </si>
  <si>
    <t>Section 8A: The Global Fund  Forecast Template</t>
  </si>
  <si>
    <t>Principal Recipient Forecast for the period (not including the Buffer)</t>
  </si>
  <si>
    <t>Principal Recipient Forecast for the Buffer Period</t>
  </si>
  <si>
    <t>Local Fund Agent Adjusted Principal Recipient Forecast for the period (not including the Buffer)</t>
  </si>
  <si>
    <t>Local Fund Agent Adjusted Principal Recipient Forecast for the Buffer Period</t>
  </si>
  <si>
    <t>Summary Breakdown by Quarter</t>
  </si>
  <si>
    <t xml:space="preserve">Calendar Period </t>
  </si>
  <si>
    <t>Approved Budget</t>
  </si>
  <si>
    <t>Forecasted Disbursement to Principal Recipient</t>
  </si>
  <si>
    <t>Forecasted Direct Disbursement</t>
  </si>
  <si>
    <t>Local Fund Agent</t>
  </si>
  <si>
    <t xml:space="preserve">Validation of Principal Recipient Grand Total </t>
  </si>
  <si>
    <t>Cash Forecast '!E53+'Cash Forecast '!D53+'Cash Forecast '!C53-B14-B15-B16+D23+D24,D13)))</t>
  </si>
  <si>
    <t>Principal RECIPIENT</t>
  </si>
  <si>
    <t xml:space="preserve">Explanation of any significant variance between forecasted amounts and amounts as originally budgeted.  Please explain any significant variance (based on your judgment) between the forecasted amounts and the amounts as per approved budgets.  Please specify the main factors and related amounts that are the major drivers of the variance. </t>
  </si>
  <si>
    <t>Execution Period</t>
  </si>
  <si>
    <t>Buffer Period</t>
  </si>
  <si>
    <t>Calendar Period</t>
  </si>
  <si>
    <t>Principal Recipient Forecast</t>
  </si>
  <si>
    <t>PPM/Wambo.org  forecasted disbursement</t>
  </si>
  <si>
    <t>Local Fund Agent  Forecast</t>
  </si>
  <si>
    <t>Exchange Rate</t>
  </si>
  <si>
    <t>'- used to convert Opening Cash Balance</t>
  </si>
  <si>
    <t>Financial  Triggers for Principal Recipient Reporting</t>
  </si>
  <si>
    <t>[Item number]</t>
  </si>
  <si>
    <t>Item number</t>
  </si>
  <si>
    <t>PR Cumulative</t>
  </si>
  <si>
    <t>PR Comment</t>
  </si>
  <si>
    <t>PR Current</t>
  </si>
  <si>
    <t>LFA Cumulative</t>
  </si>
  <si>
    <t>LFA Current Adjust</t>
  </si>
  <si>
    <t>LFA Comment</t>
  </si>
  <si>
    <t>1.1</t>
  </si>
  <si>
    <t>2.1</t>
  </si>
  <si>
    <t>2.2</t>
  </si>
  <si>
    <t>2.3</t>
  </si>
  <si>
    <t>2.4</t>
  </si>
  <si>
    <t>2.5</t>
  </si>
  <si>
    <t>2.6</t>
  </si>
  <si>
    <t>3.1</t>
  </si>
  <si>
    <t>3.2</t>
  </si>
  <si>
    <t>3.3</t>
  </si>
  <si>
    <t>3.4</t>
  </si>
  <si>
    <t>3.5</t>
  </si>
  <si>
    <t>4.1</t>
  </si>
  <si>
    <t>4.2</t>
  </si>
  <si>
    <t>4.3</t>
  </si>
  <si>
    <t>4.4</t>
  </si>
  <si>
    <t>5.1</t>
  </si>
  <si>
    <t>5.2</t>
  </si>
  <si>
    <t>5.3</t>
  </si>
  <si>
    <t>6.1</t>
  </si>
  <si>
    <t>6.2</t>
  </si>
  <si>
    <t>6.3</t>
  </si>
  <si>
    <t>7.1</t>
  </si>
  <si>
    <t>7.2</t>
  </si>
  <si>
    <t>7.4</t>
  </si>
  <si>
    <t>8.1</t>
  </si>
  <si>
    <t>8.2</t>
  </si>
  <si>
    <t>8.3</t>
  </si>
  <si>
    <t>8.4</t>
  </si>
  <si>
    <t>8.5</t>
  </si>
  <si>
    <t>[SR Name]</t>
  </si>
  <si>
    <t>[Cumulative SR exp. for prior periods]</t>
  </si>
  <si>
    <t>[SR Open Advances at PR Level]</t>
  </si>
  <si>
    <t>[PR Disbursements for Rep. Period]</t>
  </si>
  <si>
    <t>[Other Income during Rep. Period]</t>
  </si>
  <si>
    <t>[PR validated exp. during Rep. Period]</t>
  </si>
  <si>
    <t>[Refunds received from SR]</t>
  </si>
  <si>
    <t>[Actual SR Cash Balance]</t>
  </si>
  <si>
    <t>[LFA Adjustments]</t>
  </si>
  <si>
    <t>Reporting Period ID</t>
  </si>
  <si>
    <t>[Budget for Forecast Period]</t>
  </si>
  <si>
    <t>[PR Forecast for the period]</t>
  </si>
  <si>
    <t>[Budget for the Buffer Period]</t>
  </si>
  <si>
    <t>[PR Forecast for the Buffer Period]</t>
  </si>
  <si>
    <t>[PR Comments]</t>
  </si>
  <si>
    <t>[LFA Adjusted Forecast for the period]</t>
  </si>
  <si>
    <t>[LFA Adj. Forecast for the Buffer period]</t>
  </si>
  <si>
    <t>[LFA Comments]</t>
  </si>
  <si>
    <t>[Start Date]</t>
  </si>
  <si>
    <t>Start Date</t>
  </si>
  <si>
    <t>[End date]</t>
  </si>
  <si>
    <t>End date</t>
  </si>
  <si>
    <t>[Time ID]</t>
  </si>
  <si>
    <t>Time ID</t>
  </si>
  <si>
    <t>[Quarterly Cash Forecast Name]</t>
  </si>
  <si>
    <t>Quarterly Cash Forecast Name</t>
  </si>
  <si>
    <t>[Forecast Q1]</t>
  </si>
  <si>
    <t>Forecast Q1</t>
  </si>
  <si>
    <t>[Forecast Q2]</t>
  </si>
  <si>
    <t>Forecast Q2</t>
  </si>
  <si>
    <t>[Forecast Q3]</t>
  </si>
  <si>
    <t>Forecast Q3</t>
  </si>
  <si>
    <t>[Forecast Q4]</t>
  </si>
  <si>
    <t>Forecast Q4</t>
  </si>
  <si>
    <t>[Buffer Q1]</t>
  </si>
  <si>
    <t>Buffer Q1</t>
  </si>
  <si>
    <t>[Buffer Q2]</t>
  </si>
  <si>
    <t>Buffer Q2</t>
  </si>
  <si>
    <t>Name</t>
  </si>
  <si>
    <t>Disbursement Buffer Start Date</t>
  </si>
  <si>
    <t>Disbursement Buffer End Date</t>
  </si>
  <si>
    <t>Disbursement Execution Start Date</t>
  </si>
  <si>
    <t>Disbursement Execution End Date</t>
  </si>
  <si>
    <t>Time Object -Forecast</t>
  </si>
  <si>
    <t>Time Object - Buffer</t>
  </si>
  <si>
    <t>Reporting period</t>
  </si>
  <si>
    <t>Progress Update</t>
  </si>
  <si>
    <t>Period of Programmatic Reporting</t>
  </si>
  <si>
    <t>Period of Financial Reporting</t>
  </si>
  <si>
    <t>Disbursement Request Buffer Period</t>
  </si>
  <si>
    <t>Disbursement Request Execution Period</t>
  </si>
  <si>
    <t>Note: The table contains those Impact/Outcome indicators that are (1) due for reporting in the current reporting period and (2) those reporting on which is overdue from the previous periods.</t>
  </si>
  <si>
    <t>Standard Impact/Outcome Indicator</t>
  </si>
  <si>
    <t>Custom Impact/Outcome Indicator</t>
  </si>
  <si>
    <t>Standard Coverage Indicator</t>
  </si>
  <si>
    <t>Custom Coverage Indicator</t>
  </si>
  <si>
    <t>Note: Only the Workplan Tracking Measures that are due for the reporting period have been captured</t>
  </si>
  <si>
    <t>Cumulative Period of Financial Reporting</t>
  </si>
  <si>
    <t xml:space="preserve"> 2. Based on the most up-to-date stock situation, are there any risks of stock-outs or expiries for the key pharmaceuticals &amp; health products, listed below, at the central level in the next Reporting Period?  If yes, please comment.</t>
  </si>
  <si>
    <t>Cumulative value of products verified as correct by the LFA in the PQR since the start of the Implementation Period</t>
  </si>
  <si>
    <t>Cumulative value of  products received since the start of the Implementation Period</t>
  </si>
  <si>
    <t>Has the LFA Verified Principal Recipient Expenditure Report?</t>
  </si>
  <si>
    <t>Has the LFA Verified the Principal Recipient Forecast?</t>
  </si>
  <si>
    <t>[Costing Dimension (Cost Grouping)]</t>
  </si>
  <si>
    <t xml:space="preserve">Note: All coverage indicators contained in the current Performance Framework should be listed, regardless of whether the targets have been met in previous periods.  </t>
  </si>
  <si>
    <r>
      <rPr>
        <b/>
        <sz val="12"/>
        <rFont val="Georgia"/>
        <family val="1"/>
      </rPr>
      <t>Cover Sheet: Instructions</t>
    </r>
    <r>
      <rPr>
        <sz val="12"/>
        <rFont val="Georgia"/>
        <family val="1"/>
      </rPr>
      <t xml:space="preserve">
</t>
    </r>
    <r>
      <rPr>
        <sz val="12"/>
        <rFont val="Calibri"/>
        <family val="2"/>
      </rPr>
      <t>•</t>
    </r>
    <r>
      <rPr>
        <sz val="10.199999999999999"/>
        <rFont val="Georgia"/>
        <family val="1"/>
      </rPr>
      <t xml:space="preserve"> </t>
    </r>
    <r>
      <rPr>
        <sz val="12"/>
        <rFont val="Georgia"/>
        <family val="1"/>
      </rPr>
      <t>This template is compatible with MS Excel 2013 and later versions. Some drop-downs and formulae may not work with earlier versions and specifically MS Excel 2010. Hence, Principal Recipients with earlier MS versions are requested to upgrade to MS Excel 2013 to have the full functionalities of this tool.
• Principal Recipients are first required to confirm the information on the Cover Sheet with the General Grant Information listed in the boxes below. They can refer to their Grant Face Sheet/Grant Confirmation to confirm part of this information.
• Principal Recipients are required to confirm the information related to the periods covered by the progress update and disbursement request.</t>
    </r>
  </si>
  <si>
    <t>(7)
Refunds received  from the Sub-Recipient</t>
  </si>
  <si>
    <t>(8) 
Sub-Recipient Closing Balance at Principal Recipient Level</t>
  </si>
  <si>
    <t>(9) 
Actual Sub-Recipient Cash Balance (if applicable)</t>
  </si>
  <si>
    <t xml:space="preserve"> (10)
Variances on Sub-Recipient Balances</t>
  </si>
  <si>
    <t xml:space="preserve">Validation of Local Fund Agent Grand Total </t>
  </si>
  <si>
    <t>LFA analysis of progress and any variance between targets and results, and any other comments
(this should not be a “Copy and Paste” of the reasons provided by the PR)</t>
  </si>
  <si>
    <t>RP ID</t>
  </si>
  <si>
    <t>Reporting Period Start Date</t>
  </si>
  <si>
    <t>[Cost Grouping Number]</t>
  </si>
  <si>
    <t>Cost Grouping Number</t>
  </si>
  <si>
    <t>Module Data - Component - Indicator Reference</t>
  </si>
  <si>
    <t>Intervention Data - Module-Coverage-Intervention Reference</t>
  </si>
  <si>
    <t>[Module-Coverage-Intervention Reference (Name)]</t>
  </si>
  <si>
    <t>Module-Coverage-Intervention Reference (Name)</t>
  </si>
  <si>
    <t>[Module (Name)]</t>
  </si>
  <si>
    <t>[Name ID]</t>
  </si>
  <si>
    <t>Name ID</t>
  </si>
  <si>
    <t>Grant Components</t>
  </si>
  <si>
    <t>[Component Name]</t>
  </si>
  <si>
    <t>Component Name</t>
  </si>
  <si>
    <t>[Component (Name)]</t>
  </si>
  <si>
    <t>Component (Name)</t>
  </si>
  <si>
    <t>Column1</t>
  </si>
  <si>
    <t>Column2</t>
  </si>
  <si>
    <t>Column3</t>
  </si>
  <si>
    <t>Column4</t>
  </si>
  <si>
    <t>Column5</t>
  </si>
  <si>
    <t>Column6</t>
  </si>
  <si>
    <t>unique id</t>
  </si>
  <si>
    <t>unique name list</t>
  </si>
  <si>
    <t>ModuleName</t>
  </si>
  <si>
    <t>Column8</t>
  </si>
  <si>
    <t>Summary Breakdown by Implementing Entity</t>
  </si>
  <si>
    <t>Progress Report with Disbursement Request</t>
  </si>
  <si>
    <t>Cash in Transit for the reporting period (Third party disbursements):</t>
  </si>
  <si>
    <t>Cash in Transit after the current reporting period (Third party disbursements) :</t>
  </si>
  <si>
    <t>PPM/eMP (Wambo.org) forecasted Amount</t>
  </si>
  <si>
    <t>#</t>
  </si>
  <si>
    <t xml:space="preserve">Module </t>
  </si>
  <si>
    <t>Cost input</t>
  </si>
  <si>
    <t>Amount in Grant Currency</t>
  </si>
  <si>
    <t>Delivery date</t>
  </si>
  <si>
    <t xml:space="preserve">Expected Payment date </t>
  </si>
  <si>
    <t xml:space="preserve">Effective Payment date </t>
  </si>
  <si>
    <t>Expected Delivery date</t>
  </si>
  <si>
    <t>Sheet Name</t>
  </si>
  <si>
    <t>Fetching RP Dates to filter out Grant Requirements</t>
  </si>
  <si>
    <t>4.5</t>
  </si>
  <si>
    <t>PR Actual Expenditure</t>
  </si>
  <si>
    <t>PR Cumulative Expenditures</t>
  </si>
  <si>
    <t>LFA Adjustment on Expenditures</t>
  </si>
  <si>
    <t>LFA Cumulative Expenditures</t>
  </si>
  <si>
    <t>Cost Input</t>
  </si>
  <si>
    <t>[Cost Input Number]</t>
  </si>
  <si>
    <t>Cost Input Number</t>
  </si>
  <si>
    <t>Cost Input Name</t>
  </si>
  <si>
    <t>Costing Dimension (Cost Grouping or Cost Input)</t>
  </si>
  <si>
    <t>A- BREAKDOWN BY COST GROUPING OR COST INPUT</t>
  </si>
  <si>
    <t>Cash in Transit for the reporting period (Disbursements to PR:</t>
  </si>
  <si>
    <r>
      <t>Cash in Transit after the current reporting period (Disbursements to PR</t>
    </r>
    <r>
      <rPr>
        <b/>
        <strike/>
        <sz val="11"/>
        <rFont val="Georgia"/>
        <family val="1"/>
      </rPr>
      <t/>
    </r>
  </si>
  <si>
    <t>Cash in Transit after the current reporting period (Disbursements to PR:</t>
  </si>
  <si>
    <t>Activity Description</t>
  </si>
  <si>
    <t>Financial Commitments</t>
  </si>
  <si>
    <t>Financial Obligations</t>
  </si>
  <si>
    <t>Total Financial Commitments &amp; Financial Obligations</t>
  </si>
  <si>
    <t>[Costing Dimension (Cost Input)]</t>
  </si>
  <si>
    <t>Advance payments made for the next implementation period</t>
  </si>
  <si>
    <t>Absorption Rate</t>
  </si>
  <si>
    <t>Cash Balance: End of period covered by Progress Update (Item 5.3 in PRLFA Cash Reconciliation):</t>
  </si>
  <si>
    <t>C. Principal Recipient Financial Commitments and Financial Obligations</t>
  </si>
  <si>
    <t>204f46a9-f618-4448-b472-3870523dc2b2</t>
  </si>
  <si>
    <t xml:space="preserve">     </t>
  </si>
  <si>
    <t>AIM_Implementation_Period__c.AIM_Grant_Currency__c</t>
  </si>
  <si>
    <t>CHF</t>
  </si>
  <si>
    <t>EUR</t>
  </si>
  <si>
    <t>USD</t>
  </si>
  <si>
    <t>AFN</t>
  </si>
  <si>
    <t>AMD</t>
  </si>
  <si>
    <t>AUD</t>
  </si>
  <si>
    <t>BAM</t>
  </si>
  <si>
    <t>BDT</t>
  </si>
  <si>
    <t>BGN</t>
  </si>
  <si>
    <t>BTN</t>
  </si>
  <si>
    <t>BYR</t>
  </si>
  <si>
    <t>CNY</t>
  </si>
  <si>
    <t>COP</t>
  </si>
  <si>
    <t>DOP</t>
  </si>
  <si>
    <t>GBP</t>
  </si>
  <si>
    <t>GEL</t>
  </si>
  <si>
    <t>GHS</t>
  </si>
  <si>
    <t>GNF</t>
  </si>
  <si>
    <t>GTQ</t>
  </si>
  <si>
    <t>IDR</t>
  </si>
  <si>
    <t>ILS</t>
  </si>
  <si>
    <t>INR</t>
  </si>
  <si>
    <t>JMD</t>
  </si>
  <si>
    <t>JOD</t>
  </si>
  <si>
    <t>JPY</t>
  </si>
  <si>
    <t>KES</t>
  </si>
  <si>
    <t>KZT</t>
  </si>
  <si>
    <t>MAD</t>
  </si>
  <si>
    <t>MGA</t>
  </si>
  <si>
    <t>MKD</t>
  </si>
  <si>
    <t>MUR</t>
  </si>
  <si>
    <t>NAD</t>
  </si>
  <si>
    <t>NGN</t>
  </si>
  <si>
    <t>NZD</t>
  </si>
  <si>
    <t>PGK</t>
  </si>
  <si>
    <t>PHP</t>
  </si>
  <si>
    <t>PYG</t>
  </si>
  <si>
    <t>RSD</t>
  </si>
  <si>
    <t>RUB</t>
  </si>
  <si>
    <t>SLL</t>
  </si>
  <si>
    <t>SRD</t>
  </si>
  <si>
    <t>SZL</t>
  </si>
  <si>
    <t>THB</t>
  </si>
  <si>
    <t>TND</t>
  </si>
  <si>
    <t>TZS</t>
  </si>
  <si>
    <t>UAH</t>
  </si>
  <si>
    <t>XAF</t>
  </si>
  <si>
    <t>XOF</t>
  </si>
  <si>
    <t>YER</t>
  </si>
  <si>
    <t>ZAR</t>
  </si>
  <si>
    <t>CAD</t>
  </si>
  <si>
    <t>SEK</t>
  </si>
  <si>
    <t>NOK</t>
  </si>
  <si>
    <t>DKK</t>
  </si>
  <si>
    <t>ISK</t>
  </si>
  <si>
    <t>EGP</t>
  </si>
  <si>
    <t>AED</t>
  </si>
  <si>
    <t>ALL</t>
  </si>
  <si>
    <t>AOA</t>
  </si>
  <si>
    <t>ARS</t>
  </si>
  <si>
    <t>AWG</t>
  </si>
  <si>
    <t>AZN</t>
  </si>
  <si>
    <t>BBD</t>
  </si>
  <si>
    <t>BHD</t>
  </si>
  <si>
    <t>BIF</t>
  </si>
  <si>
    <t>BND</t>
  </si>
  <si>
    <t>BOB</t>
  </si>
  <si>
    <t>BRL</t>
  </si>
  <si>
    <t>BSD</t>
  </si>
  <si>
    <t>BWP</t>
  </si>
  <si>
    <t>BZD</t>
  </si>
  <si>
    <t>CDF</t>
  </si>
  <si>
    <t>CLP</t>
  </si>
  <si>
    <t>CRC</t>
  </si>
  <si>
    <t>CUC</t>
  </si>
  <si>
    <t>CVE</t>
  </si>
  <si>
    <t>CZK</t>
  </si>
  <si>
    <t>DJF</t>
  </si>
  <si>
    <t>DZD</t>
  </si>
  <si>
    <t>EEK</t>
  </si>
  <si>
    <t>ERN</t>
  </si>
  <si>
    <t>ETB</t>
  </si>
  <si>
    <t>FJD</t>
  </si>
  <si>
    <t>FKP</t>
  </si>
  <si>
    <t>GIP</t>
  </si>
  <si>
    <t>GMD</t>
  </si>
  <si>
    <t>GYD</t>
  </si>
  <si>
    <t>HKD</t>
  </si>
  <si>
    <t>HNL</t>
  </si>
  <si>
    <t>HRK</t>
  </si>
  <si>
    <t>HTG</t>
  </si>
  <si>
    <t>HUF</t>
  </si>
  <si>
    <t>IQD</t>
  </si>
  <si>
    <t>IRR</t>
  </si>
  <si>
    <t>KGS</t>
  </si>
  <si>
    <t>KHR</t>
  </si>
  <si>
    <t>KMF</t>
  </si>
  <si>
    <t>KPW</t>
  </si>
  <si>
    <t>KRW</t>
  </si>
  <si>
    <t>KWD</t>
  </si>
  <si>
    <t>KYD</t>
  </si>
  <si>
    <t>LAK</t>
  </si>
  <si>
    <t>LBP</t>
  </si>
  <si>
    <t>LKR</t>
  </si>
  <si>
    <t>LRD</t>
  </si>
  <si>
    <t>LSL</t>
  </si>
  <si>
    <t>LTL</t>
  </si>
  <si>
    <t>LVL</t>
  </si>
  <si>
    <t>LYD</t>
  </si>
  <si>
    <t>MDL</t>
  </si>
  <si>
    <t>MMK</t>
  </si>
  <si>
    <t>MNT</t>
  </si>
  <si>
    <t>MOP</t>
  </si>
  <si>
    <t>MRO</t>
  </si>
  <si>
    <t>MVR</t>
  </si>
  <si>
    <t>MWK</t>
  </si>
  <si>
    <t>MXN</t>
  </si>
  <si>
    <t>MYR</t>
  </si>
  <si>
    <t>NIO</t>
  </si>
  <si>
    <t>NPR</t>
  </si>
  <si>
    <t>OMR</t>
  </si>
  <si>
    <t>PAB</t>
  </si>
  <si>
    <t>PEN</t>
  </si>
  <si>
    <t>PKR</t>
  </si>
  <si>
    <t>PLN</t>
  </si>
  <si>
    <t>QAR</t>
  </si>
  <si>
    <t>RON</t>
  </si>
  <si>
    <t>RWF</t>
  </si>
  <si>
    <t>SAR</t>
  </si>
  <si>
    <t>SBD</t>
  </si>
  <si>
    <t>SCR</t>
  </si>
  <si>
    <t>SDG</t>
  </si>
  <si>
    <t>SGD</t>
  </si>
  <si>
    <t>SHP</t>
  </si>
  <si>
    <t>SKK</t>
  </si>
  <si>
    <t>SOS</t>
  </si>
  <si>
    <t>STD</t>
  </si>
  <si>
    <t>SYP</t>
  </si>
  <si>
    <t>TJS</t>
  </si>
  <si>
    <t>TOP</t>
  </si>
  <si>
    <t>TRY</t>
  </si>
  <si>
    <t>TTD</t>
  </si>
  <si>
    <t>TWD</t>
  </si>
  <si>
    <t>UGX</t>
  </si>
  <si>
    <t>UYU</t>
  </si>
  <si>
    <t>UZS</t>
  </si>
  <si>
    <t>VND</t>
  </si>
  <si>
    <t>VUV</t>
  </si>
  <si>
    <t>WST</t>
  </si>
  <si>
    <t>XCD</t>
  </si>
  <si>
    <t>XPF</t>
  </si>
  <si>
    <t>ZWD</t>
  </si>
  <si>
    <t>MZN</t>
  </si>
  <si>
    <t>TMT</t>
  </si>
  <si>
    <t>VEF</t>
  </si>
  <si>
    <t>ZMW</t>
  </si>
  <si>
    <t>SSP</t>
  </si>
  <si>
    <t>AIM_Procurement__c.AIM_PQR_Response_LFA__c</t>
  </si>
  <si>
    <t>N/A</t>
  </si>
  <si>
    <t>AIM_Procurement__c.AIM_PQR_Response_PR__c</t>
  </si>
  <si>
    <t>AIM_Procurement__c.AIM_Expiry_Response_LFA__c</t>
  </si>
  <si>
    <t>AIM_Procurement__c.AIM_Stock_Out_Response_LFA__c</t>
  </si>
  <si>
    <t>AIM_Performance__c.AIM_Major_Issues_Identified_LFA__c</t>
  </si>
  <si>
    <t>N.A.</t>
  </si>
  <si>
    <t>AIM_Performance__c.AIM_Overall_Rating_LFA__c</t>
  </si>
  <si>
    <t>A1</t>
  </si>
  <si>
    <t>A2</t>
  </si>
  <si>
    <t>B1</t>
  </si>
  <si>
    <t>B2</t>
  </si>
  <si>
    <t>C</t>
  </si>
  <si>
    <t>AIM_Performance__c.AIM_Quantitative_Indicator_LFA__c</t>
  </si>
  <si>
    <t>AIM_Budget_Variance__c.AIM_Description__c</t>
  </si>
  <si>
    <t>PR total expenditures</t>
  </si>
  <si>
    <t>Disbursement to SRs</t>
  </si>
  <si>
    <t>Pharmaceutical Products</t>
  </si>
  <si>
    <t>Non-Pharmaceutical Products</t>
  </si>
  <si>
    <t>AIM_Quarterly_Cash_Forecast__c.AIM_Type__c</t>
  </si>
  <si>
    <t>PR</t>
  </si>
  <si>
    <t>LFA</t>
  </si>
  <si>
    <t>AIM_Grant_Requirement__c.AIM_Functional_Areas__c</t>
  </si>
  <si>
    <t>Other management issues, including: PR capacity to develop quality program</t>
  </si>
  <si>
    <t>AIM_Grant_Requirement__c.Annual_Grant_Reporting__Requirements.AIM_Functional_Areas__c</t>
  </si>
  <si>
    <t>AIM_Grant_Requirement__c.Findings_and_Recomendations.AIM_Functional_Areas__c</t>
  </si>
  <si>
    <t>AIM_Grant_Requirement__c.Grant_Requirements.AIM_Functional_Areas__c</t>
  </si>
  <si>
    <t>AIM_Grant_Requirement__c.Management_Actions.AIM_Functional_Areas__c</t>
  </si>
  <si>
    <t>AIM_Grant_Requirement__c.Master.AIM_Functional_Areas__c</t>
  </si>
  <si>
    <t>AIM_Grant_Requirement__c.AIM_Status_LFA__c</t>
  </si>
  <si>
    <t>AIM_Grant_Requirement__c.Annual_Grant_Reporting__Requirements.AIM_Status_LFA__c</t>
  </si>
  <si>
    <t>Not met</t>
  </si>
  <si>
    <t>AIM_Grant_Requirement__c.Findings_and_Recomendations.AIM_Status_LFA__c</t>
  </si>
  <si>
    <t>AIM_Grant_Requirement__c.Grant_Requirements.AIM_Status_LFA__c</t>
  </si>
  <si>
    <t>AIM_Grant_Requirement__c.Management_Actions.AIM_Status_LFA__c</t>
  </si>
  <si>
    <t>AIM_Grant_Requirement__c.Master.AIM_Status_LFA__c</t>
  </si>
  <si>
    <t>AIM_Grant_Requirement__c.AIM_Status_PR__c</t>
  </si>
  <si>
    <t>AIM_Grant_Requirement__c.Annual_Grant_Reporting__Requirements.AIM_Status_PR__c</t>
  </si>
  <si>
    <t>AIM_Grant_Requirement__c.Findings_and_Recomendations.AIM_Status_PR__c</t>
  </si>
  <si>
    <t>AIM_Grant_Requirement__c.Grant_Requirements.AIM_Status_PR__c</t>
  </si>
  <si>
    <t>AIM_Grant_Requirement__c.Management_Actions.AIM_Status_PR__c</t>
  </si>
  <si>
    <t>AIM_Grant_Requirement__c.Master.AIM_Status_PR__c</t>
  </si>
  <si>
    <t>AIM_Impact_Indicator__c.AIM_Baseline_Year__c</t>
  </si>
  <si>
    <t>2002</t>
  </si>
  <si>
    <t>2003</t>
  </si>
  <si>
    <t>2004</t>
  </si>
  <si>
    <t>2005</t>
  </si>
  <si>
    <t>2006</t>
  </si>
  <si>
    <t>2007</t>
  </si>
  <si>
    <t>2008</t>
  </si>
  <si>
    <t>2009</t>
  </si>
  <si>
    <t>2010</t>
  </si>
  <si>
    <t>2011</t>
  </si>
  <si>
    <t>2012</t>
  </si>
  <si>
    <t>2013</t>
  </si>
  <si>
    <t>2014</t>
  </si>
  <si>
    <t>2015</t>
  </si>
  <si>
    <t>2016</t>
  </si>
  <si>
    <t>2017</t>
  </si>
  <si>
    <t>2018</t>
  </si>
  <si>
    <t>2019</t>
  </si>
  <si>
    <t>2020</t>
  </si>
  <si>
    <t>2021</t>
  </si>
  <si>
    <t>2022</t>
  </si>
  <si>
    <t>2023</t>
  </si>
  <si>
    <t>2024</t>
  </si>
  <si>
    <t>2025</t>
  </si>
  <si>
    <t>AIM_Impact_Indicator_Targets_Results__c.AIM_Verification_Method_LFA__c</t>
  </si>
  <si>
    <t>Not Verified</t>
  </si>
  <si>
    <t>Desk Review</t>
  </si>
  <si>
    <t>Other</t>
  </si>
  <si>
    <t>AIM_Impact_Indicator_Targets_Results__c.AIM_Year_of_Target__c</t>
  </si>
  <si>
    <t>AIM_Impact_Indicator_Targets_Results__c.AIM_Year_of_Result_LFA__c</t>
  </si>
  <si>
    <t>AIM_Impact_Indicator_Targets_Results__c.AIM_Year_of_Result_PR__c</t>
  </si>
  <si>
    <t>AIM_Impact_Indicator_Targets_Results__c.AIM_Data_Source_Result_LFA__c</t>
  </si>
  <si>
    <t>HMIS</t>
  </si>
  <si>
    <t>Patient records</t>
  </si>
  <si>
    <t>Training records</t>
  </si>
  <si>
    <t>MICS (Multiple Indicator Cluster Survey)</t>
  </si>
  <si>
    <t>DHS/DHS+ (Demographic and Health Survey)</t>
  </si>
  <si>
    <t>AIS (AIDS Indicator Survey)</t>
  </si>
  <si>
    <t>BSS (Behavioral Surveillance Survey)</t>
  </si>
  <si>
    <t>Health Facility survey</t>
  </si>
  <si>
    <t>SAMS (Service Availability Mapping Survey)</t>
  </si>
  <si>
    <t>Households survey</t>
  </si>
  <si>
    <t>Specific surveys and research (specify)</t>
  </si>
  <si>
    <t>Reports (specify)</t>
  </si>
  <si>
    <t>Vital and disease-specific registry</t>
  </si>
  <si>
    <t>Operational Research</t>
  </si>
  <si>
    <t>Health Provider survey</t>
  </si>
  <si>
    <t>National Health Account</t>
  </si>
  <si>
    <t>Administrative records</t>
  </si>
  <si>
    <t>R&amp;R TB system, quarterly reports</t>
  </si>
  <si>
    <t>R&amp;R TB system, yearly management report </t>
  </si>
  <si>
    <t>TB prevalence survey</t>
  </si>
  <si>
    <t>TB patient register</t>
  </si>
  <si>
    <t>TB laboratory register</t>
  </si>
  <si>
    <t>TB treatment card</t>
  </si>
  <si>
    <t>Specify- Reports, Surveys, Questionnaires etc.</t>
  </si>
  <si>
    <t>MIS (Malaria Indicator Survey)</t>
  </si>
  <si>
    <t>Situation Analysis</t>
  </si>
  <si>
    <t>Key informant survey</t>
  </si>
  <si>
    <t>Surveillance systems</t>
  </si>
  <si>
    <t>Modelled</t>
  </si>
  <si>
    <t>Other survey, specify</t>
  </si>
  <si>
    <t>IBBS</t>
  </si>
  <si>
    <t>AIM_Impact_Indicator_Targets_Results__c.AIM_Data_Source_Result_PR__c</t>
  </si>
  <si>
    <t>AIM_Impact_Indicator_Targets_Results__c.AIM_Due_for_Reporting__c</t>
  </si>
  <si>
    <t>TBD</t>
  </si>
  <si>
    <t>AIM_Impact_Disaggregation__c.AIM_Baseline_Year__c</t>
  </si>
  <si>
    <t>AIM_Impact_Disagaggregation_Results__c.AIM_Result_Source_PR__c</t>
  </si>
  <si>
    <t>AIM_Impact_Disagaggregation_Results__c.AIM_Verified_Result_Source_LFA__c</t>
  </si>
  <si>
    <t>AIM_Outcome_Indicator__c.AIM_Baseline_Year__c</t>
  </si>
  <si>
    <t>AIM_Outcome_Indicator_Targets_Result__c.AIM_Verification_Method_LFA__c</t>
  </si>
  <si>
    <t>AIM_Outcome_Indicator_Targets_Result__c.AIM_Year_of_Target__c</t>
  </si>
  <si>
    <t>AIM_Outcome_Indicator_Targets_Result__c.AIM_Year_of_Result_LFA__c</t>
  </si>
  <si>
    <t>AIM_Outcome_Indicator_Targets_Result__c.AIM_Year_of_Result_PR__c</t>
  </si>
  <si>
    <t>AIM_Outcome_Indicator_Targets_Result__c.AIM_Data_Source_Result_LFA__c</t>
  </si>
  <si>
    <t>AIM_Outcome_Indicator_Targets_Result__c.AIM_Data_Source_Result_PR__c</t>
  </si>
  <si>
    <t>AIM_Outcome_Indicator_Targets_Result__c.AIM_Due_for_Reporting__c</t>
  </si>
  <si>
    <t>AIM_Outcome_Disaggregation__c.AIM_Baseline_Year__c</t>
  </si>
  <si>
    <t>AIM_Outcome_Disaggregation_Results__c.AIM_Result_Source_PR__c</t>
  </si>
  <si>
    <t>AIM_Outcome_Disaggregation_Results__c.AIM_Verified_Result_Source_LFA__c</t>
  </si>
  <si>
    <t>AIM_Coverage_Indicator__c.AIM_Geographic_Coverage__c</t>
  </si>
  <si>
    <t>National</t>
  </si>
  <si>
    <t>AIM_Coverage_Indicator__c.AIM_Cumulation_Type__c</t>
  </si>
  <si>
    <t>Non Cumulative - Other</t>
  </si>
  <si>
    <t>AIM_Coverage_Indicator__c.AIM_Year__c</t>
  </si>
  <si>
    <t>AIM_Coverage_Indicator_Targets_Results__c.AIM_Verification_Method_LFA__c</t>
  </si>
  <si>
    <t>AIM_Coverage_Indicator_Targets_Results__c.AIM_Data_Source_Result_LFA__c</t>
  </si>
  <si>
    <t>AIM_Coverage_Indicator_Targets_Results__c.AIM_Data_Source_Result_PR__c</t>
  </si>
  <si>
    <t>AIM_Coverage_Indicator_Targets_Results__c.AIM_Due_for_Reporting__c</t>
  </si>
  <si>
    <t>AIM_Coverage_Disaggregation__c.AIM_Year__c</t>
  </si>
  <si>
    <t>AIM_Coverage_Disaggregation_Result__c.AIM_Source_PR__c</t>
  </si>
  <si>
    <t>AIM_Coverage_Disaggregation_Result__c.AIM_LFA_Source__c</t>
  </si>
  <si>
    <t>AIM_WPTM_Results__c.AIM_Progress_Status_PR__c</t>
  </si>
  <si>
    <t>AIM_WPTM_Results__c.AIM_Progress_Status_LFA__c</t>
  </si>
  <si>
    <t>AIM_Opt_Ins__c.AIM_Tab_Name__c</t>
  </si>
  <si>
    <t>Impact Outcome Indicators_1A</t>
  </si>
  <si>
    <t>Disaggregation_1A</t>
  </si>
  <si>
    <t>Coverage Indicators_1B</t>
  </si>
  <si>
    <t>Disaggregation_1B</t>
  </si>
  <si>
    <t>WPTM_1C</t>
  </si>
  <si>
    <t>LFA Expenditure_7B</t>
  </si>
  <si>
    <t>Annual Cash Forecast_8A</t>
  </si>
  <si>
    <t>AIM_Opt_Ins__c.AIM_Type__c</t>
  </si>
  <si>
    <t>PR Reporting</t>
  </si>
  <si>
    <t>Cash Balance</t>
  </si>
  <si>
    <t>Tax Reporting</t>
  </si>
  <si>
    <t>PickListValue</t>
  </si>
  <si>
    <t>PickListKey</t>
  </si>
  <si>
    <t>Annual Grant Reporting  Requirements</t>
  </si>
  <si>
    <t>Annual_Grant_Reporting__Requirements</t>
  </si>
  <si>
    <t>Findings and Recomendations</t>
  </si>
  <si>
    <t>Findings_and_Recomendations</t>
  </si>
  <si>
    <t>Grant_Requirements</t>
  </si>
  <si>
    <t>Management Actions</t>
  </si>
  <si>
    <t>Management_Actions</t>
  </si>
  <si>
    <t>Master</t>
  </si>
  <si>
    <t>GF</t>
  </si>
  <si>
    <t>Disb - Final Forecast</t>
  </si>
  <si>
    <t>Subnational</t>
  </si>
  <si>
    <t>Cumulative Annually</t>
  </si>
  <si>
    <t>Non Cumulative</t>
  </si>
  <si>
    <t>PR Cash Reconciliation_2ABCD</t>
  </si>
  <si>
    <t>SR Cash Reconciliation_2E</t>
  </si>
  <si>
    <t>Budget Variance_2F</t>
  </si>
  <si>
    <t>Procurement_3</t>
  </si>
  <si>
    <t>Grant Management_4</t>
  </si>
  <si>
    <t>PR/LFA Evaluation_5</t>
  </si>
  <si>
    <t>LFA Findings and Recommendation_6</t>
  </si>
  <si>
    <t>PR Expenditure_7A</t>
  </si>
  <si>
    <t>Semi-Annual Cash Forecast_8AA</t>
  </si>
  <si>
    <t>Request and Recommendation_8B</t>
  </si>
  <si>
    <t>PR Authorization_9A</t>
  </si>
  <si>
    <t>LFA Authorization_9B</t>
  </si>
  <si>
    <t>Quarterly Cash Info_QFR1</t>
  </si>
  <si>
    <t>Tax Reporting_QFR2</t>
  </si>
  <si>
    <t>Financial Triggers_10</t>
  </si>
  <si>
    <t>Cash Forecast_8A</t>
  </si>
  <si>
    <t>a1Y36000002VIbtEAG</t>
  </si>
  <si>
    <t>ROU-T-RAA</t>
  </si>
  <si>
    <t>LFA_Findings&amp;Recommendations_6</t>
  </si>
  <si>
    <t>PR-LFA Evaluation_5</t>
  </si>
  <si>
    <t>SR_Cash Reconciliation_2E</t>
  </si>
  <si>
    <t>PR Cash Reconciliation_2A,B,C,D</t>
  </si>
  <si>
    <t>Romania</t>
  </si>
  <si>
    <t>Romanian Angel Appeal Foundation</t>
  </si>
  <si>
    <t>Tuberculosis</t>
  </si>
  <si>
    <t>a1K36000001WhFXEA0</t>
  </si>
  <si>
    <t>01236000000OMQ7AAO</t>
  </si>
  <si>
    <t>a2R360000003hgvEAA</t>
  </si>
  <si>
    <t>a2Q36000000eyNyEAI</t>
  </si>
  <si>
    <t>TB I-2: TB incidence rate per 100,000 population</t>
  </si>
  <si>
    <t>87</t>
  </si>
  <si>
    <t>a1H36000003Rv7HEAS</t>
  </si>
  <si>
    <t>TB I-3(M): TB mortality rate per 100,000 population</t>
  </si>
  <si>
    <t>a1H36000003Rv7LEAS</t>
  </si>
  <si>
    <t>a1H36000003Rv7MEAS</t>
  </si>
  <si>
    <t>TB I-4(M): RR-TB and/or MDR-TB prevalence among new TB patients: Proportion of new TB cases with RR-TB and/or MDR-TB</t>
  </si>
  <si>
    <t>2.80%</t>
  </si>
  <si>
    <t>a1H36000003Rv7PEAS</t>
  </si>
  <si>
    <t>a1H36000003Rv7QEAS</t>
  </si>
  <si>
    <t>TB I-Other 1: MDR-TB prevalence among retreatment TB patients</t>
  </si>
  <si>
    <t>11.00%</t>
  </si>
  <si>
    <t>a1H36000003Rv7TEAS</t>
  </si>
  <si>
    <t>a1H36000003Rv7UEAS</t>
  </si>
  <si>
    <t>TB O-1a: Case notification rate of all forms of TB per 100,000 population - bacteriologically confirmed plus clinically diagnosed, new and relapse cases</t>
  </si>
  <si>
    <t>72.99</t>
  </si>
  <si>
    <t>a1W360000037lMAEAY</t>
  </si>
  <si>
    <t>a1W360000037lMBEAY</t>
  </si>
  <si>
    <t>TB O-1b: Case notification rate per 100,000 population- bacteriologically-confirmed TB, new and relapse</t>
  </si>
  <si>
    <t>48.43</t>
  </si>
  <si>
    <t>a1W360000037lMEEAY</t>
  </si>
  <si>
    <t>TB O-2b: Treatment success rate - bacteriologically confirmed TB cases</t>
  </si>
  <si>
    <t>85.50%</t>
  </si>
  <si>
    <t>a1W360000037lMIEAY</t>
  </si>
  <si>
    <t>TB O-3: Notification of RR-TB and/or MDR-TB cases - Percentage of notified cases of bacteriologically confirmed, drug resistant RR-TB and/or MDR-TB⃰ as a proportion of the estimated number of RR-TB and/or MDR-TB cases among notified TB cases</t>
  </si>
  <si>
    <t>77.00%</t>
  </si>
  <si>
    <t>a1W360000037lMMEAY</t>
  </si>
  <si>
    <t>TB O-4(M): Treatment success rate of RR TB and/or MDR-TB: Percentage of cases with RR and/or MDR-TB successfully treated</t>
  </si>
  <si>
    <t>25.00%</t>
  </si>
  <si>
    <t>a1W360000037lMQEAY</t>
  </si>
  <si>
    <t>a1W360000037lMREAY</t>
  </si>
  <si>
    <t>XDR TB</t>
  </si>
  <si>
    <t>TB case definition</t>
  </si>
  <si>
    <t>R&amp;R TB system, yearly management report</t>
  </si>
  <si>
    <t>a1U36000002uvdWEAQ</t>
  </si>
  <si>
    <t>a1U36000002uvdXEAQ</t>
  </si>
  <si>
    <t>HSS - Policy and governance</t>
  </si>
  <si>
    <t>HSS Other-1: Percentage of TB patients which will start the treatment in ambulatory out of the total number of TB cases to be identified within the 6 counties which will implement the ambulatory care project</t>
  </si>
  <si>
    <t>R&amp;R TB system, quarterly report</t>
  </si>
  <si>
    <t>a1736000004QWJOAA4</t>
  </si>
  <si>
    <t>HSS Other-2: Percentage of MDR TB patients which will start the treatment in ambulatory out of the total number of MDR TB cases to be identified within the 6 counties which will implement the ambulatory care project</t>
  </si>
  <si>
    <t>a1736000004QWJTAA4</t>
  </si>
  <si>
    <t>MDR-TB</t>
  </si>
  <si>
    <t>MDR TB-2(M): Number of TB cases with RR-TB and/or MDR-TB notified</t>
  </si>
  <si>
    <t>a1736000004QWIuAAO</t>
  </si>
  <si>
    <t>MDR TB-3(M): Number of cases with RR-TB and/or MDR-TB that began second-line treatment</t>
  </si>
  <si>
    <t>Global TB Report</t>
  </si>
  <si>
    <t>a1736000004QWIzAAO</t>
  </si>
  <si>
    <t>TB care and prevention</t>
  </si>
  <si>
    <t>TCP-2(M): Treatment success rate- all forms:  Percentage of TB cases, all forms, bacteriologically confirmed plus clinically diagnosed, successfully treated (cured plus treatment completed) among all TB cases registered for treatment during a specified period, new and relapse cases</t>
  </si>
  <si>
    <t>a1736000004QWJYAA4</t>
  </si>
  <si>
    <t>TB/HIV</t>
  </si>
  <si>
    <t>TB/HIV other-1: Number of PWID reached with HIV prevention programs - defined package of services</t>
  </si>
  <si>
    <t>a1736000004QWJJAA4</t>
  </si>
  <si>
    <t>TB/HIV-6(M): Percentage of HIV-positive new and relapse TB patients on ART during TB treatment</t>
  </si>
  <si>
    <t>a1736000004QWJdAAO</t>
  </si>
  <si>
    <t>Male</t>
  </si>
  <si>
    <t>Gender</t>
  </si>
  <si>
    <t>a1536000003nGmjAAE</t>
  </si>
  <si>
    <t>Female</t>
  </si>
  <si>
    <t>a1536000003nGmoAAE</t>
  </si>
  <si>
    <t>U15</t>
  </si>
  <si>
    <t>Age</t>
  </si>
  <si>
    <t>a1536000003nGmtAAE</t>
  </si>
  <si>
    <t>15+</t>
  </si>
  <si>
    <t>a1536000003nGmyAAE</t>
  </si>
  <si>
    <t>New TB drugs</t>
  </si>
  <si>
    <t>TB regimen</t>
  </si>
  <si>
    <t>a1536000003nGn3AAE</t>
  </si>
  <si>
    <t>Short regimens</t>
  </si>
  <si>
    <t>a1536000003nGn8AAE</t>
  </si>
  <si>
    <t>a1536000003nGnDAAU</t>
  </si>
  <si>
    <t>a1536000003nGnIAAU</t>
  </si>
  <si>
    <t>a1536000003nGnNAAU</t>
  </si>
  <si>
    <t>a1536000003nGnSAAU</t>
  </si>
  <si>
    <t>a1536000003nHDxAAM</t>
  </si>
  <si>
    <t>Positive</t>
  </si>
  <si>
    <t>HIV test status</t>
  </si>
  <si>
    <t>a1536000003nHEHAA2</t>
  </si>
  <si>
    <t>a1536000003nHE2AAM</t>
  </si>
  <si>
    <t>a1536000003nHE7AAM</t>
  </si>
  <si>
    <t>Not documented</t>
  </si>
  <si>
    <t>a1536000003nHECAA2</t>
  </si>
  <si>
    <t>a1536000003nHEMAA2</t>
  </si>
  <si>
    <t>Negative</t>
  </si>
  <si>
    <t>a1536000003nHERAA2</t>
  </si>
  <si>
    <t>In accordance with the Global Fund Board Decision Point GF/B28/DP4, the Grantee acknowledges and agrees that the commitment and disbursement of 15% of Romania’s aggregate allocation of EUR 9,312,530 for the 2014-2016 allocation period, which is equal to EUR 1,396,880, is subject to the Global Fund’s satisfaction with Romania’s compliance with the Global Fund’s policies relating to counterpart financing.</t>
  </si>
  <si>
    <t>a1D36000003yCrEEAU</t>
  </si>
  <si>
    <t>Prior to financing renovation and reorganization of an MDR-TB facility (the “Facility”), the Grantee shall present to the Global Fund a list of planned activities and associated budget (the “Proposal”), the Global Fund shall review such Proposal, and if satisfied with form and substance of such Proposal, approve the Proposal for renovation and reorganization of the Facility.</t>
  </si>
  <si>
    <t>a1D36000003yCrFEAU</t>
  </si>
  <si>
    <t>No later than 31 October 2015, the Grantee shall propose and present to the Global Fund a concise list of work plan tracking measures based on the detailed operational plan for the health system reform shifting hospital-based care to community-based care, which shall be developed with support of the national and international experts.</t>
  </si>
  <si>
    <t>a1D36000003yCrGEAU</t>
  </si>
  <si>
    <t>No later than 31 December 2015, the Grantee shall submit to the Global Fund the detailed work plan, including key milestones with associated timelines, related to the recentralization of the procurement, storage, and distribution of TB medicines, which shall be endorsed by the Ministry of Health of Romania and be acceptable in form and substance to the Global Fund</t>
  </si>
  <si>
    <t>a1D36000003yCrHEAU</t>
  </si>
  <si>
    <t>1. Human Resources (HR)</t>
  </si>
  <si>
    <t>a2G36000001MC8pEAG</t>
  </si>
  <si>
    <t>2. Travel related costs (TRC)</t>
  </si>
  <si>
    <t>a2G36000001MC8uEAG</t>
  </si>
  <si>
    <t>3. External Professional services (EPS)</t>
  </si>
  <si>
    <t>a2G36000001MC91EAG</t>
  </si>
  <si>
    <t>4. Health Products - Pharmaceutical Products (HPPP)</t>
  </si>
  <si>
    <t>a2G36000001MC8yEAG</t>
  </si>
  <si>
    <t>5. Health Products - Non-Pharmaceuticals (HPNP)</t>
  </si>
  <si>
    <t>a2G36000001MC8sEAG</t>
  </si>
  <si>
    <t>6. Health Products - Equipment (HPE)</t>
  </si>
  <si>
    <t>a2G36000001MC97EAG</t>
  </si>
  <si>
    <t>7. Procurement and Supply-Chain Management costs (PSM)</t>
  </si>
  <si>
    <t>a2G36000001MC96EAG</t>
  </si>
  <si>
    <t>8. Infrastructure (INF)</t>
  </si>
  <si>
    <t>a2G36000001MC93EAG</t>
  </si>
  <si>
    <t>9. Non-health equipment (NHP)</t>
  </si>
  <si>
    <t>a2G36000001MC92EAG</t>
  </si>
  <si>
    <t>10. Communication Material and Publications (CMP)</t>
  </si>
  <si>
    <t>a2G36000001MC8zEAG</t>
  </si>
  <si>
    <t>11. Programme Administration costs (PA)</t>
  </si>
  <si>
    <t>a2G36000001MC8vEAG</t>
  </si>
  <si>
    <t>12. Living support to client/ target population (LSCTP)</t>
  </si>
  <si>
    <t>a2G36000001MC8xEAG</t>
  </si>
  <si>
    <t>13. Payment for Results</t>
  </si>
  <si>
    <t>a2G36000001MC9CEAW</t>
  </si>
  <si>
    <t>Key populations (TB care and prevention) - Others</t>
  </si>
  <si>
    <t>a2G36000001MC8nEAG</t>
  </si>
  <si>
    <t>Case detection and diagnosis</t>
  </si>
  <si>
    <t>a2G36000001MC94EAG</t>
  </si>
  <si>
    <t>Treatment: MDR-TB</t>
  </si>
  <si>
    <t>a2G36000001MC98EAG</t>
  </si>
  <si>
    <t>Development and implementation of health legislation, strategies and policies</t>
  </si>
  <si>
    <t>a2G36000001MC9AEAW</t>
  </si>
  <si>
    <t>Program management</t>
  </si>
  <si>
    <t>Grant management</t>
  </si>
  <si>
    <t>a2G36000001MC9BEAW</t>
  </si>
  <si>
    <t>Sub-Recipient 2</t>
  </si>
  <si>
    <t>OTH-OTH</t>
  </si>
  <si>
    <t>a2G36000001MC8oEAG</t>
  </si>
  <si>
    <t>Sub-Recipient 6</t>
  </si>
  <si>
    <t>a2G36000001MC8qEAG</t>
  </si>
  <si>
    <t>Sub-Recipient 4</t>
  </si>
  <si>
    <t>a2G36000001MC8rEAG</t>
  </si>
  <si>
    <t>Sub-Recipient 3</t>
  </si>
  <si>
    <t>a2G36000001MC8tEAG</t>
  </si>
  <si>
    <t>Sub-Recipient 5</t>
  </si>
  <si>
    <t>a2G36000001MC8wEAG</t>
  </si>
  <si>
    <t>CS-LOCNGO</t>
  </si>
  <si>
    <t>a2G36000001MC90EAG</t>
  </si>
  <si>
    <t>Sub-Recipient 1</t>
  </si>
  <si>
    <t>a2G36000001MC95EAG</t>
  </si>
  <si>
    <t>Sub-Recipient 7</t>
  </si>
  <si>
    <t>a2G36000001MC99EAG</t>
  </si>
  <si>
    <t>a4836000000g9m4AAA</t>
  </si>
  <si>
    <t>a4836000000g9m5AAA</t>
  </si>
  <si>
    <t>a4836000000g9m6AAA</t>
  </si>
  <si>
    <t>a4836000000g9m7AAA</t>
  </si>
  <si>
    <t>a4836000000g9m8AAA</t>
  </si>
  <si>
    <t>a4836000000g9m9AAA</t>
  </si>
  <si>
    <t>a4836000000g9mAAAQ</t>
  </si>
  <si>
    <t>a4836000000g9mBAAQ</t>
  </si>
  <si>
    <t>a4836000000g9mCAAQ</t>
  </si>
  <si>
    <t>a4836000000g9mDAAQ</t>
  </si>
  <si>
    <t>a4836000000g9mEAAQ</t>
  </si>
  <si>
    <t>a4836000000g9mFAAQ</t>
  </si>
  <si>
    <t>a4836000000g9mGAAQ</t>
  </si>
  <si>
    <t>a4836000000g9mHAAQ</t>
  </si>
  <si>
    <t>a4836000000g9mIAAQ</t>
  </si>
  <si>
    <t>a4836000000g9mJAAQ</t>
  </si>
  <si>
    <t>a4836000000g9mKAAQ</t>
  </si>
  <si>
    <t>a4836000000g9mLAAQ</t>
  </si>
  <si>
    <t>a4836000000g9mMAAQ</t>
  </si>
  <si>
    <t>a4836000000g9mNAAQ</t>
  </si>
  <si>
    <t>a4836000000g9mOAAQ</t>
  </si>
  <si>
    <t>a4836000000g9mPAAQ</t>
  </si>
  <si>
    <t>a4836000000g9mQAAQ</t>
  </si>
  <si>
    <t>a4836000000g9mRAAQ</t>
  </si>
  <si>
    <t>a4836000000g9mSAAQ</t>
  </si>
  <si>
    <t>7.3</t>
  </si>
  <si>
    <t>a4836000000g9mTAAQ</t>
  </si>
  <si>
    <t>a4836000000g9mUAAQ</t>
  </si>
  <si>
    <t>a4836000000g9mVAAQ</t>
  </si>
  <si>
    <t>a4836000000g9mWAAQ</t>
  </si>
  <si>
    <t>a4836000000g9mXAAQ</t>
  </si>
  <si>
    <t>a4836000000g9mYAAQ</t>
  </si>
  <si>
    <t>a4836000000g9mZAAQ</t>
  </si>
  <si>
    <t>2.</t>
  </si>
  <si>
    <t>a4836000000g9maAAA</t>
  </si>
  <si>
    <t>3.</t>
  </si>
  <si>
    <t>a4836000000g9mbAAA</t>
  </si>
  <si>
    <t>4.</t>
  </si>
  <si>
    <t>a4836000000g9mcAAA</t>
  </si>
  <si>
    <t>5.</t>
  </si>
  <si>
    <t>a4836000000g9mdAAA</t>
  </si>
  <si>
    <t>a3y36000001h2DAAAY</t>
  </si>
  <si>
    <t>a3y36000001h2DFAAY</t>
  </si>
  <si>
    <t>a3y36000001h2DMAAY</t>
  </si>
  <si>
    <t>a3y36000001h2DJAAY</t>
  </si>
  <si>
    <t>a3y36000001h2DDAAY</t>
  </si>
  <si>
    <t>a3y36000001h2DSAAY</t>
  </si>
  <si>
    <t>a3y36000001h2DRAAY</t>
  </si>
  <si>
    <t>a3y36000001h2DOAAY</t>
  </si>
  <si>
    <t>a3y36000001h2DNAAY</t>
  </si>
  <si>
    <t>a3y36000001h2DKAAY</t>
  </si>
  <si>
    <t>a3y36000001h2DGAAY</t>
  </si>
  <si>
    <t>a3y36000001h2DIAAY</t>
  </si>
  <si>
    <t>a3y36000001h2DXAAY</t>
  </si>
  <si>
    <t>a3y36000001h2DVAAY</t>
  </si>
  <si>
    <t>a3y36000001h2DTAAY</t>
  </si>
  <si>
    <t>a3y36000001h2DWAAY</t>
  </si>
  <si>
    <t>a3y36000001h2D8AAI</t>
  </si>
  <si>
    <t>a3y36000001h2DPAAY</t>
  </si>
  <si>
    <t>a3y36000001h2D9AAI</t>
  </si>
  <si>
    <t>a3y36000001h2DBAAY</t>
  </si>
  <si>
    <t>a3y36000001h2DCAAY</t>
  </si>
  <si>
    <t>a3y36000001h2DEAAY</t>
  </si>
  <si>
    <t>a3y36000001h2DHAAY</t>
  </si>
  <si>
    <t>a3y36000001h2DLAAY</t>
  </si>
  <si>
    <t>a3y36000001h2DQAAY</t>
  </si>
  <si>
    <t>a3y36000001h2DUAAY</t>
  </si>
  <si>
    <t>a4A36000000oOpSEAU</t>
  </si>
  <si>
    <t>a4A36000000oOpUEAU</t>
  </si>
  <si>
    <t>a4A36000000oOpTEAU</t>
  </si>
  <si>
    <t>a4A36000000oOpVEAU</t>
  </si>
  <si>
    <t>a4A36000000oOpXEAU</t>
  </si>
  <si>
    <t>a4A36000000oOpWEAU</t>
  </si>
  <si>
    <t>a4A36000000oOpYEAU</t>
  </si>
  <si>
    <t>TIME-09389</t>
  </si>
  <si>
    <t>a2T36000001Zl6GEAS</t>
  </si>
  <si>
    <t>MCI-00008</t>
  </si>
  <si>
    <t>a3z360000009C1sAAE</t>
  </si>
  <si>
    <t>MCI-00009</t>
  </si>
  <si>
    <t>a3z360000009C1tAAE</t>
  </si>
  <si>
    <t>MCI-00010</t>
  </si>
  <si>
    <t>a3z360000009C1uAAE</t>
  </si>
  <si>
    <t>RSSH: Integrated service delivery and quality improvement</t>
  </si>
  <si>
    <t>MCI-00014</t>
  </si>
  <si>
    <t>a3z360000009C1vAAE</t>
  </si>
  <si>
    <t>RSSH: Human resources for health (HRH), including community health workers</t>
  </si>
  <si>
    <t>MCI-00015</t>
  </si>
  <si>
    <t>a3z360000009C1wAAE</t>
  </si>
  <si>
    <t>RSSH: Procurement and supply chain management systems</t>
  </si>
  <si>
    <t>MCI-00016</t>
  </si>
  <si>
    <t>a3z360000009C1xAAE</t>
  </si>
  <si>
    <t>RSSH: Financial management systems</t>
  </si>
  <si>
    <t>MCI-00019</t>
  </si>
  <si>
    <t>a3z360000009C20AAE</t>
  </si>
  <si>
    <t>RSSH: Community responses and systems</t>
  </si>
  <si>
    <t>MCI-00021</t>
  </si>
  <si>
    <t>a3z360000009C21AAE</t>
  </si>
  <si>
    <t>RSSH: Health management information systems and M&amp;E</t>
  </si>
  <si>
    <t>MCI-00022</t>
  </si>
  <si>
    <t>a3z360000009C22AAE</t>
  </si>
  <si>
    <t>MCI-00023</t>
  </si>
  <si>
    <t>a3z360000009C23AAE</t>
  </si>
  <si>
    <t>Payment for results</t>
  </si>
  <si>
    <t>MCI-00024</t>
  </si>
  <si>
    <t>a3z360000009C24AAE</t>
  </si>
  <si>
    <t>RSSH: National health strategies</t>
  </si>
  <si>
    <t>MCI-00536</t>
  </si>
  <si>
    <t>a3z360000009C4CAAU</t>
  </si>
  <si>
    <t>MCI-00126</t>
  </si>
  <si>
    <t>a1O36000001EGHCEA4</t>
  </si>
  <si>
    <t>MCI-00127</t>
  </si>
  <si>
    <t>Treatment</t>
  </si>
  <si>
    <t>a1O36000001EGHDEA4</t>
  </si>
  <si>
    <t>MCI-00128</t>
  </si>
  <si>
    <t>Prevention</t>
  </si>
  <si>
    <t>a1O36000001EGHEEA4</t>
  </si>
  <si>
    <t>MCI-00129</t>
  </si>
  <si>
    <t>Engaging all care providers (TB care and prevention)</t>
  </si>
  <si>
    <t>a1O36000001EGHFEA4</t>
  </si>
  <si>
    <t>MCI-00130</t>
  </si>
  <si>
    <t>Community TB care delivery</t>
  </si>
  <si>
    <t>a1O36000001EGHGEA4</t>
  </si>
  <si>
    <t>MCI-00131</t>
  </si>
  <si>
    <t>a1O36000001EGHHEA4</t>
  </si>
  <si>
    <t>MCI-00132</t>
  </si>
  <si>
    <t>Collaborative activities with other programs and sectors (TB care and prevention)</t>
  </si>
  <si>
    <t>a1O36000001EGHIEA4</t>
  </si>
  <si>
    <t>MCI-00133</t>
  </si>
  <si>
    <t>Other TB care and prevention intervention(s)</t>
  </si>
  <si>
    <t>a1O36000001EGHJEA4</t>
  </si>
  <si>
    <t>MCI-00590</t>
  </si>
  <si>
    <t>Key populations (TB care and prevention) - Prisoners</t>
  </si>
  <si>
    <t>a1O36000001qZ8pEAE</t>
  </si>
  <si>
    <t>MCI-00591</t>
  </si>
  <si>
    <t>Removing human rights and gender related barriers to TB care and prevention</t>
  </si>
  <si>
    <t>a1O36000001qZ8qEAE</t>
  </si>
  <si>
    <t>MCI-00134</t>
  </si>
  <si>
    <t>TB/HIV collaborative interventions</t>
  </si>
  <si>
    <t>a1O36000001EGHKEA4</t>
  </si>
  <si>
    <t>MCI-00135</t>
  </si>
  <si>
    <t>Engaging all care providers (TB/HIV)</t>
  </si>
  <si>
    <t>a1O36000001EGHLEA4</t>
  </si>
  <si>
    <t>MCI-00136</t>
  </si>
  <si>
    <t>Community TB/HIV care delivery</t>
  </si>
  <si>
    <t>a1O36000001EGHMEA4</t>
  </si>
  <si>
    <t>MCI-00137</t>
  </si>
  <si>
    <t>Key populations (TB/HIV) - Others</t>
  </si>
  <si>
    <t>a1O36000001EGHNEA4</t>
  </si>
  <si>
    <t>MCI-00138</t>
  </si>
  <si>
    <t>Collaborative activities with other programs and sectors (TB/HIV)</t>
  </si>
  <si>
    <t>a1O36000001EGHOEA4</t>
  </si>
  <si>
    <t>MCI-00139</t>
  </si>
  <si>
    <t>Other TB/HIV intervention(s)</t>
  </si>
  <si>
    <t>a1O36000001EGHPEA4</t>
  </si>
  <si>
    <t>MCI-00581</t>
  </si>
  <si>
    <t>Key populations (TB/HIV) - Prisoners</t>
  </si>
  <si>
    <t>a1O36000001qZ8gEAE</t>
  </si>
  <si>
    <t>MCI-00582</t>
  </si>
  <si>
    <t>Removing human rights and gender related barriers to TB/HIV collaborative programming</t>
  </si>
  <si>
    <t>a1O36000001qZ8hEAE</t>
  </si>
  <si>
    <t>MCI-00142</t>
  </si>
  <si>
    <t>Prevention for MDR-TB</t>
  </si>
  <si>
    <t>a1O36000001EGHSEA4</t>
  </si>
  <si>
    <t>MCI-00143</t>
  </si>
  <si>
    <t>Engaging all care providers (MDR-TB)</t>
  </si>
  <si>
    <t>a1O36000001EGHTEA4</t>
  </si>
  <si>
    <t>MCI-00144</t>
  </si>
  <si>
    <t>Community MDR-TB care delivery</t>
  </si>
  <si>
    <t>a1O36000001EGHUEA4</t>
  </si>
  <si>
    <t>MCI-00145</t>
  </si>
  <si>
    <t>Key populations (MDR-TB) - Others</t>
  </si>
  <si>
    <t>a1O36000001EGHVEA4</t>
  </si>
  <si>
    <t>MCI-00146</t>
  </si>
  <si>
    <t>Collaborative activities with other programs and sectors (MDR-TB)</t>
  </si>
  <si>
    <t>a1O36000001EGHWEA4</t>
  </si>
  <si>
    <t>MCI-00147</t>
  </si>
  <si>
    <t>Other MDR-TB intervention(s)</t>
  </si>
  <si>
    <t>a1O36000001EGHXEA4</t>
  </si>
  <si>
    <t>MCI-00140</t>
  </si>
  <si>
    <t>Case detection and diagnosis: MDR-TB</t>
  </si>
  <si>
    <t>a1O36000001EGHQEA4</t>
  </si>
  <si>
    <t>MCI-00141</t>
  </si>
  <si>
    <t>a1O36000001EGHREA4</t>
  </si>
  <si>
    <t>MCI-00592</t>
  </si>
  <si>
    <t>Key populations (MDR-TB) - Prisoners</t>
  </si>
  <si>
    <t>a1O36000001qZ8rEAE</t>
  </si>
  <si>
    <t>MCI-00593</t>
  </si>
  <si>
    <t>Removing human rights and gender related barriers to MDR-TB</t>
  </si>
  <si>
    <t>a1O36000001qZ8sEAE</t>
  </si>
  <si>
    <t>MCI-00170</t>
  </si>
  <si>
    <t>Service organization and facility management</t>
  </si>
  <si>
    <t>a1O36000001EGHuEAO</t>
  </si>
  <si>
    <t>MCI-00171</t>
  </si>
  <si>
    <t>Laboratory systems for disease prevention, control, treatment and disease surveillance</t>
  </si>
  <si>
    <t>a1O36000001EGHvEAO</t>
  </si>
  <si>
    <t>MCI-00172</t>
  </si>
  <si>
    <t>Improving service delivery infrastructure</t>
  </si>
  <si>
    <t>a1O36000001EGHwEAO</t>
  </si>
  <si>
    <t>MCI-00173</t>
  </si>
  <si>
    <t>Other service delivery intervention(s)</t>
  </si>
  <si>
    <t>a1O36000001EGHxEAO</t>
  </si>
  <si>
    <t>MCI-00601</t>
  </si>
  <si>
    <t>Supportive policy and programmatic environment</t>
  </si>
  <si>
    <t>a1O36000001qZ90EAE</t>
  </si>
  <si>
    <t>MCI-00602</t>
  </si>
  <si>
    <t>Provider initiated feedback mechanisms</t>
  </si>
  <si>
    <t>a1O36000001qZ91EAE</t>
  </si>
  <si>
    <t>MCI-00177</t>
  </si>
  <si>
    <t>Other health and community workforce intervention(s)</t>
  </si>
  <si>
    <t>a1O36000001EGI1EAO</t>
  </si>
  <si>
    <t>MCI-00174</t>
  </si>
  <si>
    <t>Capacity building for health workers, including those at community level</t>
  </si>
  <si>
    <t>a1O36000001EGHyEAO</t>
  </si>
  <si>
    <t>MCI-00175</t>
  </si>
  <si>
    <t>Retention and scale-up of health workers, including for community health workers</t>
  </si>
  <si>
    <t>a1O36000001EGHzEAO</t>
  </si>
  <si>
    <t>MCI-00178</t>
  </si>
  <si>
    <t>National costed supply chain master plan, and implementation</t>
  </si>
  <si>
    <t>a1O36000001EGI2EAO</t>
  </si>
  <si>
    <t>MCI-00179</t>
  </si>
  <si>
    <t>Supply chain infrastructure and development of tools</t>
  </si>
  <si>
    <t>a1O36000001EGI3EAO</t>
  </si>
  <si>
    <t>MCI-00180</t>
  </si>
  <si>
    <t>Other procurement supply chain management intervention(s)</t>
  </si>
  <si>
    <t>a1O36000001EGI4EAO</t>
  </si>
  <si>
    <t>MCI-00598</t>
  </si>
  <si>
    <t>Procurement strategy</t>
  </si>
  <si>
    <t>a1O36000001qZ8xEAE</t>
  </si>
  <si>
    <t>MCI-00599</t>
  </si>
  <si>
    <t>National product selection, registration and quality monitoring</t>
  </si>
  <si>
    <t>a1O36000001qZ8yEAE</t>
  </si>
  <si>
    <t>MCI-00187</t>
  </si>
  <si>
    <t>Public financial management (PFM) strengthening</t>
  </si>
  <si>
    <t>a1O36000001EGIBEA4</t>
  </si>
  <si>
    <t>MCI-00188</t>
  </si>
  <si>
    <t>Other financial management intervention(s)</t>
  </si>
  <si>
    <t>a1O36000001EGICEA4</t>
  </si>
  <si>
    <t>MCI-00603</t>
  </si>
  <si>
    <t>Routine financial management improvement (non-PFM)</t>
  </si>
  <si>
    <t>a1O36000001qZ92EAE</t>
  </si>
  <si>
    <t>MCI-00195</t>
  </si>
  <si>
    <t>Community-based monitoring</t>
  </si>
  <si>
    <t>a1O36000001EGIJEA4</t>
  </si>
  <si>
    <t>MCI-00196</t>
  </si>
  <si>
    <t>Community led advocacy</t>
  </si>
  <si>
    <t>a1O36000001EGIKEA4</t>
  </si>
  <si>
    <t>MCI-00197</t>
  </si>
  <si>
    <t>Social mobilization, building community linkages, collaboration and coordination</t>
  </si>
  <si>
    <t>a1O36000001EGILEA4</t>
  </si>
  <si>
    <t>MCI-00198</t>
  </si>
  <si>
    <t>Institutional capacity building, planning and leadership development</t>
  </si>
  <si>
    <t>a1O36000001EGIMEA4</t>
  </si>
  <si>
    <t>MCI-00199</t>
  </si>
  <si>
    <t>Other community responses and systems intervention(s)</t>
  </si>
  <si>
    <t>a1O36000001EGINEA4</t>
  </si>
  <si>
    <t>MCI-00200</t>
  </si>
  <si>
    <t>Routine reporting</t>
  </si>
  <si>
    <t>a1O36000001EGIOEA4</t>
  </si>
  <si>
    <t>MCI-00201</t>
  </si>
  <si>
    <t>Analysis, review and transparency</t>
  </si>
  <si>
    <t>a1O36000001EGIPEA4</t>
  </si>
  <si>
    <t>MCI-00202</t>
  </si>
  <si>
    <t>Surveys</t>
  </si>
  <si>
    <t>a1O36000001EGIQEA4</t>
  </si>
  <si>
    <t>MCI-00203</t>
  </si>
  <si>
    <t>Administrative and finance data sources</t>
  </si>
  <si>
    <t>a1O36000001EGIREA4</t>
  </si>
  <si>
    <t>MCI-00204</t>
  </si>
  <si>
    <t>Vital registration system</t>
  </si>
  <si>
    <t>a1O36000001EGISEA4</t>
  </si>
  <si>
    <t>MCI-00205</t>
  </si>
  <si>
    <t>Other health information systems and M&amp;E intervention(s)</t>
  </si>
  <si>
    <t>a1O36000001EGITEA4</t>
  </si>
  <si>
    <t>MCI-00600</t>
  </si>
  <si>
    <t>Program and data quality</t>
  </si>
  <si>
    <t>a1O36000001qZ8zEAE</t>
  </si>
  <si>
    <t>MCI-00206</t>
  </si>
  <si>
    <t>Policy, planning, coordination and management of national disease control programs</t>
  </si>
  <si>
    <t>a1O36000001EGIUEA4</t>
  </si>
  <si>
    <t>MCI-00207</t>
  </si>
  <si>
    <t>a1O36000001EGIVEA4</t>
  </si>
  <si>
    <t>MCI-00209</t>
  </si>
  <si>
    <t>Other program management intervention(s)</t>
  </si>
  <si>
    <t>a1O36000001EGIXEA4</t>
  </si>
  <si>
    <t>MCI-00210</t>
  </si>
  <si>
    <t>a1O36000001EGIYEA4</t>
  </si>
  <si>
    <t>MCI-00611</t>
  </si>
  <si>
    <t>National health strategies, alignment with disease-specific plans, health sector governance and financing</t>
  </si>
  <si>
    <t>a1O36000001qZ9AEAU</t>
  </si>
  <si>
    <t>MCI-00612</t>
  </si>
  <si>
    <t>Other policy and governance intervention(s)</t>
  </si>
  <si>
    <t>a1O36000001qZ9BEAU</t>
  </si>
  <si>
    <t>a2G36000001MC9DEAW</t>
  </si>
  <si>
    <t>a2G36000001MC9EEAW</t>
  </si>
  <si>
    <t>a2G36000001MC9FEAW</t>
  </si>
  <si>
    <t>a2G36000001MC9GEAW</t>
  </si>
  <si>
    <t>a2G36000001MC9HEAW</t>
  </si>
  <si>
    <t>a2G36000001MC9IEAW</t>
  </si>
  <si>
    <t>a2G36000001MC9JEAW</t>
  </si>
  <si>
    <t>a2G36000001MC9KEAW</t>
  </si>
  <si>
    <t>a2G36000001MC9LEAW</t>
  </si>
  <si>
    <t>a2G36000001MC9MEAW</t>
  </si>
  <si>
    <t>a2G36000001MC9NEAW</t>
  </si>
  <si>
    <t>a2G36000001MC9OEAW</t>
  </si>
  <si>
    <t>a2G36000001MC9PEAW</t>
  </si>
  <si>
    <t>a2G36000001MC9QEAW</t>
  </si>
  <si>
    <t>a2G36000001MC9REAW</t>
  </si>
  <si>
    <t>a3y36000001h2DYAAY</t>
  </si>
  <si>
    <t>a3y36000001h2DZAAY</t>
  </si>
  <si>
    <t>a3y36000001h2DaAAI</t>
  </si>
  <si>
    <t>a3y36000001h2DbAAI</t>
  </si>
  <si>
    <t>a3y36000001h2DcAAI</t>
  </si>
  <si>
    <t>a3y36000001h2DdAAI</t>
  </si>
  <si>
    <t>a3y36000001h2DeAAI</t>
  </si>
  <si>
    <t>a3y36000001h2DfAAI</t>
  </si>
  <si>
    <t>a3y36000001h2DgAAI</t>
  </si>
  <si>
    <t>a3y36000001h2DhAAI</t>
  </si>
  <si>
    <t>a3y36000001h2DiAAI</t>
  </si>
  <si>
    <t>a3y36000001h2DjAAI</t>
  </si>
  <si>
    <t>a3y36000001h2DkAAI</t>
  </si>
  <si>
    <t>a3y36000001h2DlAAI</t>
  </si>
  <si>
    <t>a3y36000001h2DmAAI</t>
  </si>
  <si>
    <t>a3y36000001h2DnAAI</t>
  </si>
  <si>
    <t>a3y36000001h2DoAAI</t>
  </si>
  <si>
    <t>a3y36000001h2DpAAI</t>
  </si>
  <si>
    <t>a3y36000001h2DqAAI</t>
  </si>
  <si>
    <t>a3y36000001h2DrAAI</t>
  </si>
  <si>
    <t>a3y36000001h2DsAAI</t>
  </si>
  <si>
    <t>a3y36000001h2DtAAI</t>
  </si>
  <si>
    <t>a3y36000001h2DuAAI</t>
  </si>
  <si>
    <t>a3y36000001h2DvAAI</t>
  </si>
  <si>
    <t>a3y36000001h2DwAAI</t>
  </si>
  <si>
    <t>Human Resources (HR)</t>
  </si>
  <si>
    <t>a2C360000007DA3EAM</t>
  </si>
  <si>
    <t>Salaries - program management</t>
  </si>
  <si>
    <t>a2C360000007DA4EAM</t>
  </si>
  <si>
    <t>Salaries - outreach workers, medical staff and other service providers</t>
  </si>
  <si>
    <t>a2C360000007DAFEA2</t>
  </si>
  <si>
    <t>Performance based suppliments, incentives</t>
  </si>
  <si>
    <t>a2C360000007DAQEA2</t>
  </si>
  <si>
    <t>Other HR Costs</t>
  </si>
  <si>
    <t>a2C360000007DB5EAM</t>
  </si>
  <si>
    <t>Travel related costs (TRC)</t>
  </si>
  <si>
    <t>a2C360000007DAbEAM</t>
  </si>
  <si>
    <t>Training related per diems/transport/other costs</t>
  </si>
  <si>
    <t>a2C360000007DAmEAM</t>
  </si>
  <si>
    <t>Technical assistance-related per diems/transport/other costs</t>
  </si>
  <si>
    <t>a2C360000007DAtEAM</t>
  </si>
  <si>
    <t>Supervision/surveys/data collection related per diems/transport/other costs</t>
  </si>
  <si>
    <t>a2C360000007DB3EAM</t>
  </si>
  <si>
    <t>Meeting/Advocacy related per diems/transport/other costs</t>
  </si>
  <si>
    <t>a2C360000007DB9EAM</t>
  </si>
  <si>
    <t>Other Transportation costs</t>
  </si>
  <si>
    <t>a2C360000007DB6EAM</t>
  </si>
  <si>
    <t>External Professional services (EPS)</t>
  </si>
  <si>
    <t>a2C360000007DBAEA2</t>
  </si>
  <si>
    <t>Technical Assistance Fees/Consultants</t>
  </si>
  <si>
    <t>a2C360000007DA5EAM</t>
  </si>
  <si>
    <t>Fiscal/Fiduciary Agent fees</t>
  </si>
  <si>
    <t>a2C360000007DA6EAM</t>
  </si>
  <si>
    <t>External audit fees</t>
  </si>
  <si>
    <t>a2C360000007DA7EAM</t>
  </si>
  <si>
    <t>Other external professional services</t>
  </si>
  <si>
    <t>a2C360000007DA8EAM</t>
  </si>
  <si>
    <t>Insurance related costs (EPS)</t>
  </si>
  <si>
    <t>a2C36000000vIr1EAE</t>
  </si>
  <si>
    <t>Health Products - Pharmaceutical Products (HPPP)</t>
  </si>
  <si>
    <t>a2C360000007DA9EAM</t>
  </si>
  <si>
    <t>Antiretroviral medicines</t>
  </si>
  <si>
    <t>a2C360000007DAAEA2</t>
  </si>
  <si>
    <t>Anti-tuberculosis medicines</t>
  </si>
  <si>
    <t>a2C360000007DABEA2</t>
  </si>
  <si>
    <t>Antimalarial medicines</t>
  </si>
  <si>
    <t>a2C360000007DACEA2</t>
  </si>
  <si>
    <t>Opioid substitution medicines</t>
  </si>
  <si>
    <t>a2C360000007DADEA2</t>
  </si>
  <si>
    <t>Opportunistic infections and STI medicines</t>
  </si>
  <si>
    <t>a2C360000007DAEEA2</t>
  </si>
  <si>
    <t>Private Sector subsidies for ACTs (co-payment to 4.3)</t>
  </si>
  <si>
    <t>a2C360000007DAGEA2</t>
  </si>
  <si>
    <t>Other medicines</t>
  </si>
  <si>
    <t>a2C360000007DAHEA2</t>
  </si>
  <si>
    <t>Health Products - Non-Pharmaceuticals (HPNP)</t>
  </si>
  <si>
    <t>a2C360000007DAIEA2</t>
  </si>
  <si>
    <t>Insecticide-treated Nets (LLINs/ITNs)</t>
  </si>
  <si>
    <t>a2C360000007DAJEA2</t>
  </si>
  <si>
    <t>Condoms - Male</t>
  </si>
  <si>
    <t>a2C360000007DAKEA2</t>
  </si>
  <si>
    <t>Condoms - Female</t>
  </si>
  <si>
    <t>a2C360000007DALEA2</t>
  </si>
  <si>
    <t>Rapid Diagnostic Test</t>
  </si>
  <si>
    <t>a2C360000007DAMEA2</t>
  </si>
  <si>
    <t>Insecticides</t>
  </si>
  <si>
    <t>a2C360000007DANEA2</t>
  </si>
  <si>
    <t>Laboratory reagents</t>
  </si>
  <si>
    <t>a2C360000007DAOEA2</t>
  </si>
  <si>
    <t>Syringes and needles</t>
  </si>
  <si>
    <t>a2C360000007DAPEA2</t>
  </si>
  <si>
    <t>Other consumables</t>
  </si>
  <si>
    <t>a2C360000007DAREA2</t>
  </si>
  <si>
    <t>Private Sector subsidies for RDTs (co-payment to 5.4)</t>
  </si>
  <si>
    <t>a2C360000007uJgEAI</t>
  </si>
  <si>
    <t>Health Products - Equipment (HPE)</t>
  </si>
  <si>
    <t>a2C360000007DASEA2</t>
  </si>
  <si>
    <t>CD4 analyser/accessories</t>
  </si>
  <si>
    <t>a2C360000007DATEA2</t>
  </si>
  <si>
    <t>HIV Viral Load analyser/accessories</t>
  </si>
  <si>
    <t>a2C360000007DAUEA2</t>
  </si>
  <si>
    <t>Microscopes</t>
  </si>
  <si>
    <t>a2C360000007DAVEA2</t>
  </si>
  <si>
    <t>TB Molecular Test equipment</t>
  </si>
  <si>
    <t>a2C360000007DAWEA2</t>
  </si>
  <si>
    <t>Maintenance and service costs for health equipment</t>
  </si>
  <si>
    <t>a2C360000007DAXEA2</t>
  </si>
  <si>
    <t>Other health equipment</t>
  </si>
  <si>
    <t>a2C360000007DAYEA2</t>
  </si>
  <si>
    <t>Procurement and Supply-Chain Management costs (PSM)</t>
  </si>
  <si>
    <t>a2C360000007DAZEA2</t>
  </si>
  <si>
    <t>Procurement agent and handling fees</t>
  </si>
  <si>
    <t>a2C360000007DAaEAM</t>
  </si>
  <si>
    <t>Freight and insurance costs (Health products)</t>
  </si>
  <si>
    <t>a2C360000007DAcEAM</t>
  </si>
  <si>
    <t>Warehouse and Storage Costs</t>
  </si>
  <si>
    <t>a2C360000007DAdEAM</t>
  </si>
  <si>
    <t>In-country distribution costs</t>
  </si>
  <si>
    <t>a2C360000007DAeEAM</t>
  </si>
  <si>
    <t>Quality assurance and quality control costs (QA/QC)</t>
  </si>
  <si>
    <t>a2C360000007DAfEAM</t>
  </si>
  <si>
    <t>PSM Customs Clearance</t>
  </si>
  <si>
    <t>a2C360000007DAgEAM</t>
  </si>
  <si>
    <t>Other PSM costs</t>
  </si>
  <si>
    <t>a2C360000007DAhEAM</t>
  </si>
  <si>
    <t>Infrastructure (INF)</t>
  </si>
  <si>
    <t>a2C360000007DAiEAM</t>
  </si>
  <si>
    <t>Furniture</t>
  </si>
  <si>
    <t>a2C360000007DAjEAM</t>
  </si>
  <si>
    <t>Renovation/constructions</t>
  </si>
  <si>
    <t>a2C360000007DAkEAM</t>
  </si>
  <si>
    <t>Infrastructure maintenance and other INF costs</t>
  </si>
  <si>
    <t>a2C360000007DAlEAM</t>
  </si>
  <si>
    <t>Non-health equipment (NHP)</t>
  </si>
  <si>
    <t>a2C360000007DAnEAM</t>
  </si>
  <si>
    <t>IT - Computers, computer equipment, Software and applications</t>
  </si>
  <si>
    <t>a2C360000007DAoEAM</t>
  </si>
  <si>
    <t>Vehicles</t>
  </si>
  <si>
    <t>a2C360000007DApEAM</t>
  </si>
  <si>
    <t>Other non-health equipment</t>
  </si>
  <si>
    <t>a2C360000007DAqEAM</t>
  </si>
  <si>
    <t>Maintenance and service costs non-health equipment</t>
  </si>
  <si>
    <t>a2C360000007DArEAM</t>
  </si>
  <si>
    <t>Communication Material and Publications (CMP)</t>
  </si>
  <si>
    <t>a2C360000007D9UEAU</t>
  </si>
  <si>
    <t>Printed materials (forms, books, guidelines, brochure, leaflets...)</t>
  </si>
  <si>
    <t>a2C360000007D9VEAU</t>
  </si>
  <si>
    <t>Television/Radio spots and programmes</t>
  </si>
  <si>
    <t>a2C360000007D9WEAU</t>
  </si>
  <si>
    <t>Promotional Material (t-shirts, mugs, pins...) and other CMP costs</t>
  </si>
  <si>
    <t>a2C360000007D9XEAU</t>
  </si>
  <si>
    <t>Programme Administration costs (PA)</t>
  </si>
  <si>
    <t>a2C360000007DAsEAM</t>
  </si>
  <si>
    <t>Office related costs</t>
  </si>
  <si>
    <t>a2C360000007DAuEAM</t>
  </si>
  <si>
    <t>Unrecoverable taxes and duties</t>
  </si>
  <si>
    <t>a2C360000007DAvEAM</t>
  </si>
  <si>
    <t>Indirect cost recovery (ICR) - % based</t>
  </si>
  <si>
    <t>a2C360000007DAwEAM</t>
  </si>
  <si>
    <t>Other PA costs</t>
  </si>
  <si>
    <t>a2C360000007DAxEAM</t>
  </si>
  <si>
    <t>Living support to client/ target population (LSCTP)</t>
  </si>
  <si>
    <t>a2C360000007DAyEAM</t>
  </si>
  <si>
    <t>OVC Support (school fees, uniforms, books...)</t>
  </si>
  <si>
    <t>a2C360000007DAzEAM</t>
  </si>
  <si>
    <t>Food and care packages</t>
  </si>
  <si>
    <t>a2C360000007DB0EAM</t>
  </si>
  <si>
    <t>Cash incentives/transfer to patients/beneficiaries/counsellors/mediators</t>
  </si>
  <si>
    <t>a2C360000007DB1EAM</t>
  </si>
  <si>
    <t>Micro-loans and micro-grants</t>
  </si>
  <si>
    <t>a2C360000007DB2EAM</t>
  </si>
  <si>
    <t>Other LSCTP costs</t>
  </si>
  <si>
    <t>a2C360000007DB4EAM</t>
  </si>
  <si>
    <t>Payment for Results</t>
  </si>
  <si>
    <t>a2C360000007DB7EAM</t>
  </si>
  <si>
    <t>a2C360000007DB8EAM</t>
  </si>
  <si>
    <t>The MDR/XDR TB drugs related with 5872 quotation have been delivered in Romania in June 2017.
The MDR/XDR TB drugs related with 5873 quotation have been delivered in Romania in October 2017. 
The entire amount of Clofazimine related to this project was delivered in Romania in two tranches, namely July 2017 and October 2017.
The PQR was updated accordingly.
The cumulate quantities are:
Rifabutin 150 mg - 9000 capsules
Cycloserine 250 mg - 691200 capsules
Linezolid 600 mg - 36000 tablets
Capreomycin 1 g powder for injection - 44400 vials
Prothionamide 250 mg - 691200 tablets
Levofloxacin 250 mg - 626400 tablets
Moxifloxacin 400 mg - 21400 tablets
Kanamycin 1 g powder for injection - 55800 vials</t>
  </si>
  <si>
    <t>Orders are made to the supplier according to estimated needs for a short period of time. The delivery is well established and expiry date is negotiated with the supplier.</t>
  </si>
  <si>
    <t xml:space="preserve">The quotations received from IDA for MDR/XDR TB drugs, needed for 2017 for treatment of  320 patients (5872, 5873 and 5914),  were paid in August  2016 (quote 5872 and quote 5873) and June 2017 (quote 5914 representing the payment for  312 bottles of Clofazimine 100 mg). The  drugs related with 5872 quotation and 5873 quotation have been delivered in Romania in June 2017 and October 2017.
The entire amount of Clofazimine related to this project was delivered in Romania in two tranches, namely July 2017 (297 bottles of Clofazimine 50 mg related to the 4909 quotation) and October 2017(15 bottles of Clofazimine 50 mg related to the 4909 quotation and 312 bottles of Clofazimine 100 mg related to the 5914 quotation).
The PQR was updated after the deliveries were made.
</t>
  </si>
  <si>
    <t>Regarding to LPA tests: Orders are made to the supplier according to estimated needs for a short periods of time. The expiry dates are negotiated with supplier. MGIT tests: Orders are made to the supplier according to estimated needs for a short periods of time. The expiry dates are negotiated with supplier.</t>
  </si>
  <si>
    <t>Syringes, anti HBs, Anti HCV, anti HIV rapid tests and anti-hepatitis A + B vaccine: Orders are made to the supplier according to estimated needs for a short periods of time. The delivery is well established and expiry date is negotiated with supplier. Health consumables have been procured and delivered at the SR headquarters.</t>
  </si>
  <si>
    <t>SR 1 - NASTA - M1I1S1</t>
  </si>
  <si>
    <t>SR 2 - CPSS - M1I2S2</t>
  </si>
  <si>
    <t>SR 3 - UNOPA - M1I2S3</t>
  </si>
  <si>
    <t>SR 4 - ARAS - M1I2S4</t>
  </si>
  <si>
    <t>SR 5 - SC - M1I2S5</t>
  </si>
  <si>
    <t>SR 6 - UNOPA - M1I2S6</t>
  </si>
  <si>
    <t>All variances represents differences from exchange rate</t>
  </si>
  <si>
    <t>Q8-Q11 VAT recovered for PR 's expenditure</t>
  </si>
  <si>
    <t>PR cash balance as per bank statements (see "ROU_T_RAA_Core_PUDR_January 1 - December 31 2016_15 05 2017" document)</t>
  </si>
  <si>
    <t>Since June 2015 due to change banking policies PR have not received any interest</t>
  </si>
  <si>
    <t xml:space="preserve"> Disbursement Number : ROU-T-RAA-D03.0.1/27.07.2017</t>
  </si>
  <si>
    <t>Disbursement Number : ROU-T-RAAP01-D03.0.2)/05.12.2017</t>
  </si>
  <si>
    <t>VAT reimburest from budgetary source for Q7-Q10</t>
  </si>
  <si>
    <t>Amounts calculated into "ROU-T-RAA_PR Sources and uses of funds statement"</t>
  </si>
  <si>
    <t>SR 7 - NASTA - M2I3S7 + SR 9 -  NASTA - M3I4S9</t>
  </si>
  <si>
    <t>Q8-Q11 +Q7-Q11 VAT adjustment from PR Sources</t>
  </si>
  <si>
    <t xml:space="preserve">expenditures from previous quarter budgets and overspent from aproved reallocations:
(205,025) euro NASTA;
</t>
  </si>
  <si>
    <t>expenditures from previous quarter budgets and overspent from aproved reallocations:
(274,094) euro RAA;
(91,830) euro CPSS;
(93,323) euro UNOPA;
67,988 euro ARAS;
13,393 euro SC;</t>
  </si>
  <si>
    <t>expenditures from previous quarter budgets and overspent from aproved reallocations:
(88,856) euro RAA;
(37,776) euro NASTA</t>
  </si>
  <si>
    <t xml:space="preserve">expenditures from previous quarter budgets and overspent from aproved reallocations:
(29,428) euro RAA;
(193,740) euro NASTA
</t>
  </si>
  <si>
    <t>expenditures from previous quarter budgets, savings and overspent from aproved reallocations:
(78,581) euro from HR;
12,346 euro for TRC;
12,954 euro for NHP, CMP and PA;
(38,550) euro for LSCTP;</t>
  </si>
  <si>
    <t>expenditures from previous quarter budgets, savings and overspent from aproved reallocations:
(-27,570) euro from HR;
1,600 euro for TRC associated costs;
7,884 euro for PA;
(57,991) euro for LSCTP</t>
  </si>
  <si>
    <t>expenditures from previous quarter budgets, savings and overspent from aproved reallocations:
(72,766) euro from HR;
(160) euro for EPS and TRC associated costs;
((45,236) euro for HPPP;
(2,195) euro for PSM;
3,302 euro for  PA;
(125,745) euro for LSCTP</t>
  </si>
  <si>
    <t>expenditures from previous quarter budgets, savings and overspent from aproved reallocations:
5,337 euro from HR;
3,982 euro for EPS and TRC associated costs;
3,570 euro for CMP and PA;
504 euro for LSCTP</t>
  </si>
  <si>
    <t>expenditures from previous quarter budgets, savings and overspent from aproved reallocations:
2,198 euro from HR;
3,875 euro for EPS and TRC associated costs;
29,905 euro for HPPP;
23,955 euro for HPNP and HPE;
3,320 euro for NHP, CMP and PA;
4,744 euro for LSCTP</t>
  </si>
  <si>
    <t>expenditures from previous quarter budgets, savings and overspent from aproved reallocations:
4,157 euro from HR;
1,712 euro for EPS and TRC associated costs;
4,022 euro for NHP, CMP and PA;
(15,137) euro for LSCTP;</t>
  </si>
  <si>
    <t>expenditures from previous quarter budgets, savings and overspent from aproved reallocations:
1,222 euro from HR;
383 euro for EPS and TRC associated costs;
(208.318) euro for HPNP and HPE;
15,000 euro for PSM;
1,531 euro for PA;</t>
  </si>
  <si>
    <t>expenditures from previous quarter budgets, savings and overspent from aproved reallocations:
(66,431) euro from HR;
(103,688) euro for EPS and TRC associated costs;
(7,200) euro overspend from TFM commitment budget;
(29,373) euro for HPNP and HPE;
(226,838) euro for infrastructure previous budget;
5,551 euro for NHP, CMP and PA;</t>
  </si>
  <si>
    <t>30,261 euro IDUs: Rifabutin unspent;
18,570 euro IDUs: Vaccin for hep A and B unspent;
135,153 euro MDR TB: ensuring the treatment unspent;
454,898 euro XDR TB: ensuring the treatment unspent;</t>
  </si>
  <si>
    <t>24,835 euro IDUs: Rifabutin unspent;
5,070 euro IDUs: Vaccin for hep A and B unspent;
(6,860) euro MDR TB: ensuring the treatment overspent from previous budget;
(38,377) euro XDR TB: ensuring the treatment overspent from previous budget;</t>
  </si>
  <si>
    <t xml:space="preserve">1,738 euro unspent  for rapid tests;
4,800  euro unspent  for IDU's materials (gloves, cotton, alcohol, disinfectant, containers for syringes);
1,204 euro unspent  for syringies; 
16,213 euro unspent  for condoms; 
(138,703) euro overspent  for MGIT, LPA, Geneexpert equipment expenditure ; 
(99,484)  euro expenditure for MGIT, LPA, Geneexpert tests from previous budgets;
</t>
  </si>
  <si>
    <t>4,535 euro postponed budget  for renovation equipment;
3,245 euro postponed budget for HEPA respirators for the multisciplinary teams;
3,190 euro unspent  for IDU's materials (gloves, cotton, alcohol, disinfectant, containers for syringes); 
(6,630) euro overspend for syringes; 
20,421 euro unspent  for condoms ;
4,058 euro postponed budget for rapid test for hep B and C and rapid test for HIV ; 
 147,562 euro unspent budget for Procurement of LPA, MGIT and Geneexpert tests;  
(37,986) euro overspend for procurement of Geneexpert, MGIT and LPA equipment;</t>
  </si>
  <si>
    <t xml:space="preserve">24,077 euro savings and/ or posponed  from GLC fee;
(27,669) euro overspent from HR overspent from aproved reallocations;
301,074 euro postponed costs for INF;
(47,093) euro overspend from TFM commitment budget;
9,888 euro postponed and savings for EPS and TRC associated costs;
42,905 euro posponed expenditure from PA and non-HE;
(24,838) euro overspent for equipment and tests overspent from aproved reallocations;
</t>
  </si>
  <si>
    <t>Key affected populations</t>
  </si>
  <si>
    <t>Ambulatory care: Project manager</t>
  </si>
  <si>
    <t xml:space="preserve">Ambulatory care: Site supervisor expert ("diriginte de santier") </t>
  </si>
  <si>
    <t xml:space="preserve">Ambulatory care: Design and engineering , technical studies for land and existing buildings </t>
  </si>
  <si>
    <t xml:space="preserve">Ambulatory care: Basic investments - demolishing of the existing building </t>
  </si>
  <si>
    <t>8.2  - 3.1 TA Fees - Consultants</t>
  </si>
  <si>
    <t>8.2 - 8.2 Renovation/constructions</t>
  </si>
  <si>
    <t>31.03.2017</t>
  </si>
  <si>
    <t>10.04.2018</t>
  </si>
  <si>
    <t>Orange Steel SRL contract 575 I/03.08.2017, AA1 803 I/14.08.2017, AA2 69 I/19.01.2018</t>
  </si>
  <si>
    <t>Neat Office SRL contract 2871 I/05.09.2016, AA 579 I/07.08.2017</t>
  </si>
  <si>
    <t>D&amp;I Construct SRL contract 350 I/26.05.2017</t>
  </si>
  <si>
    <t>At the end of 2017, the spending rate was over 87%. Following the evaluation, together with the sub-recipients of the degree of fulfillment of the indicators and the future situation, a proposal to reallocate savings over a 6-month period was sent to the Global Fund in February this year.</t>
  </si>
  <si>
    <t xml:space="preserve">In march 2017, with FPM approval the budget line was increased with 15.73%. Therefore the new budget for reporting period is 1,259,659 euros and the ral variances between budget vs actual is 62,472 euros  and absorption rate is 95%
RAA (66,431) euro
NASTA (71,544) euro
CPSS (78,581) euro
UNOPA (23,412) euro
ARAS 2,198 euro
SC 5,337 euro
</t>
  </si>
  <si>
    <t xml:space="preserve">In march 2017, with FPM approval the budget line was increased with 9.84%. Therefore the new budget for reporting period is 158,090 euros and the ral variances between budget vs actual is 77,343 euros  and absorption rate is 51%
RAA (24,184) euro
NASTA (11,485) euro
CPSS 12,346 euro
UNOPA 4,174 euro
ARAS 8,674 euro
SC 4,028 euro
</t>
  </si>
  <si>
    <t xml:space="preserve">In march 2017, with FPM approval the budget line was increased with 148.91%. Therefore the new budget for reporting period is 390,660 euros and the real variances between budget vs actual is 254,038 euros  and absorption rate is 34.97%
RAA (86,704) euro
NASTA 11,709 euro
UNOPA (862) euro
ARAS (4,799) euro
SC (-46) euro
</t>
  </si>
  <si>
    <t xml:space="preserve">In march 2017, with FPM approval the budget line was decreased with 30.17%. Therefore the new budget for reporting period is 0 euros and the ral variances between budget vs actual is 47,331 euros  and absorption rate is 0%. 
NASTA (45,236) euro
ARAS 29,905 euro
</t>
  </si>
  <si>
    <t xml:space="preserve">In march 2017, with FPM approval the budget line was decreased with 21.85%. Therefore the new budget for reporting period is 119,150 euros and the real variances between budget vs actual is -148,499 euros  and absorption rate is 224%
RAA (13,888) euro
NASTA (85,596) euro
ARAS 23,955 euro
</t>
  </si>
  <si>
    <t xml:space="preserve">In march 2017, with FPM approval the budget line was increased with 58.24%. Therefore the new budget for reporting period is 148,000 euros and the real variances between budget vs actual is 9,297 euros  and absorption rate is 93.72%
RAA (15,485) euro
NASTA (123,218) euro
</t>
  </si>
  <si>
    <t xml:space="preserve">In march 2017, with FPM approval the budget line was decreased with 22.19%. Therefore the new budget for reporting period is 30,000 euros and the real variances between budget vs actual is -17,195 euros  and absorption rate is 157%
NASTA 12,805 euro
</t>
  </si>
  <si>
    <t xml:space="preserve">In march 2017, with FPM approval the budget line was decreased with 31.2%. Therefore the new budget for reporting period is 0 euros and the real variances between budget vs actual is 226,838 euros  and absorption rate is 0%
RAA (226,838) euro
</t>
  </si>
  <si>
    <t xml:space="preserve">In march 2017, with FPM approval the budget line was increased with 97%. Therefore the new budget for reporting period is 59,770 euros and the eral variances between budget vs actual is 50,320 euros  and absorption rate is 15.81%
RAA 3,473 euro
CPSS (3,536) euro
ARAS 2,013 euro
</t>
  </si>
  <si>
    <t xml:space="preserve">In march 2017, with FPM approval the budget line was decreased with 64.55%. Therefore the new budget for reporting period is 3,774 euros and the real variances between budget vs actual is 3,143 euros  and absorption rate is 16.72%
RAA (31) euro
CPSS 3,000 euro
ARAS 1,500 euro
SC 1,000 euro
</t>
  </si>
  <si>
    <t xml:space="preserve">In march 2017, with FPM approval the budget line was decreased with 7.54%. Therefore the new budget for reporting period is 129,458 euros and the real variances between budget vs actual is40,610 euros  and absorption rate is 40.61%
RAA 2,109 euro
NASTA 1,771 euro
CPSS 13,480 euro
UNOPA 11,905 euro
ARAS (-193) euro
SC 2,570 euro
</t>
  </si>
  <si>
    <t xml:space="preserve">In march 2017, with FPM approval the budget line was increased with 18.5%. Therefore the new budget for reporting period is 308,021 euros and the real variances between budget vs actual is-72,654 euros  and absorption rate is 123.59%
NASTA (125,745) euro
CPSS (38,550) euro
UNOPA (83,12) euro
ARAS 4,744 euro
SC 504 euro
</t>
  </si>
  <si>
    <t>Amounts taken from sheet "Commitments_Obligations"</t>
  </si>
  <si>
    <t>Disbursement Number : ROU-T-RAAP01-D03.0.3/08.02.2017; inv 4406/307/66385/12.01.2018</t>
  </si>
  <si>
    <t>Amounts taken from "ROU-T-RAA_PR Sources and uses of funds statement"</t>
  </si>
  <si>
    <t xml:space="preserve">777,277 euro unspent budget for HPPP, HPNP and HPE;
(54,053) euro overspent for pacients and peer suporters  incentives;
33,081 euro postponed expenditure for TA and TRC associated;
</t>
  </si>
  <si>
    <t xml:space="preserve">(229,563) euro overspent budget for HPPP, HPNP and HPE;
(156,670) euro HR from aproved reallocations;
(242,175) euro is overspent expenditure for pacients and peer-suporter incentives;
33,520 euro unspent budget for PA and non-HE;
(95,259) euro  one month buffer disbursed to SR
</t>
  </si>
  <si>
    <t>Identified issue: During the course of verification of PUDR report, the LFA identified that the PR is implementing activities, which were budgeted under SRs budgets in the Grant Agreement with the Global Fund. The PR is reporting expenditures incurred on behalf of SRs in the line "disbursement to SRs". At the same time, SR agreements signed with PR contain budgets which do not correspond to the grant budget signed with Global Fund (because of reallocation of activities from SRs to
PR).The PR should adjust the grant in accordance with the budgeted activities of PR and SR, in order to avoid discrepancies between relevant documents, including the Agreements with SR.
Recommended action: The PR should adjust the grant in accordance with the budgeted activities of PR and SR, in order to avoid discrepancies between relevant documents, including the Agreements with SR.</t>
  </si>
  <si>
    <t xml:space="preserve">Issue: According to the NTP, all new approaches, supported by WHO and described in new National Guidelines, are implemented by health care providers. Yet, the PR does not have capacity to evaluate if new Guidelines are followed by health care providers. 
Recommended Action: The PR should involve an independent TB expert (e.g. WHO representative) and to conduct analysis whether recommendations from new National TB and TB/HIV Guidelines are followed by health care providers. 
</t>
  </si>
  <si>
    <t xml:space="preserve">According to PR feedback submitted on 11 August 2017 to FPM, LFA and CCM Chair:
 The “activities” budgeted under SRs budgets in the grant Agreement, identified by the LFA as implemented by the PR are actually centralized procurement activities for goods and services, which are necessary to SRs to implement the projects subject to sub-grant agreements. 
RAA performs since 2007 centralized procurement for goods and services procured from GF grants, for cost-effectiveness reasons. Similarly, under the current grant, RAA committed to carry out procurement procedures for anti-TB SLD, laboratory equipment and supplies, health products needed for harm-reduction activities, social vouchers, other goods and services as per “Appendix 4 RomaniaGlobal Fund PSM Template” of the Concept note and implementation map. As one can also notice in the grant’s detailed budget, apart from the procurement positions in the PR team, no other procurement staff at the level of SRs exists. It has been decided, from the stage of the Concept note, that the centralized procurement ensures cost-effectiveness of the grant expenditure. 
Although the invoices are issued on PR’s name and paid by the PR, the expenditures are reported by the SR in the on-line reporting system even if the money did not actually go through their accounts, because these expenditures are linked with SRs budget lines as they are included both in the grant agreement’s detailed budget and in the sub-grant agreement’s detailed budgets. 
This situation is pretty much the same with GF contracting and paying directly for the GLC tax or for the regional audit; the expenditure is registered and reported by RAA in the PU/DR as installment from GF and expenditure made (before the GLC tax expenditure was reported under the SR M. Nasta, being in M. Nasta’s budget).
This practice regarding reporting expenditures incurred on behalf of SRs in the line "disbursement to SRs” described by the LFA has been the same since 2007, being verified by LFAs and GF and auditors for 10 years, the first time when labeled as an “issue” being now.
The “Forecasting tool” report - “Cumulative variance_PR” sheet, details all the expenditures made by PR on behalf of each SR. 
In order to implement the recommended action, the GF is kindly asked to provide clarification and guidance to the PR on which documents of the grants should be amended and in which manner, taking into account the following:
- The architecture of the detailed budget of the grant includes under the Column G – “Recipient” the mentioning of the recipients of all budget lines corresponding to the activities sub-contracted to SRs. For example the budget line for the procurement of anti-TB SLD is placed under SR1-Marius Nasta’s budget for activity Treatment MDR-TB, even if it has been agreed from the concept note stage that the PR will conduct the centralised procurement of anti-TB drugs through the GDF. 
Same for the budget line of syringes and needles included in the detailed grant budget under SR4-ARAS, consequently included in ARAS’ project budget annex to Sub-grant agreement, even if the procurement was agreed with the GF to be performed by the PR. Same for the case detection and diagnostic equipment and rapid tests under M. Nasta’s budget and sub-grant agreement, for vouchers, organisation of meetings and printed materials under other SRs, etc., etc. and all these have been detailed in the reports submitted to the GF and LFA since 2015.
The architecture of the detailed grant budget is reflected in the architecture of the individual projects and ultimately in the value of sub-grant agreements.
Changing now the recipients in Column G for all the budget lines involving procurement made by the PR, although an easy task, it will produce changes in the summary budget. All detailed budgets of all SRs and subsequently all sub-grant agreements would be affected and revised and this revision of all budgets and subgrant-agreements will be nothing but an unnecessary time consuming technicality for both PR and SRs. </t>
  </si>
  <si>
    <t xml:space="preserve">Issue: The PR did not conduct verification of data reported by the NTP.
Recommended Action: The PR should verify all data reported by the NTP as soon as a new TB electronic database will be launched. Results of the verification should be submitted to the GF in the format of updated PU/DR. The PR should also verify data reported under the indicator "Coverage of IPT among patients with Latent TB infection".
</t>
  </si>
  <si>
    <t>No value to report. Indicator excluded from the latest simplified Performance Framework (April 2017)</t>
  </si>
  <si>
    <t>Source: National Statistics Intitute (http://statistici.insse.ro/shop/), online data base (accesible only with username &amp; password)
Numerator: Number of deatsh by TB in 2015
Denominator: Romanian resident population (citizens and non-citizens residing on the national territory) at January 1st 2016</t>
  </si>
  <si>
    <t>Source: National Statistics Intitute  (http://statistici.insse.ro/shop/), online data base  (accesible only with username &amp; password)
Numerator: Number of deatsh by TB in 2016
Denominator: Romanian resident population (citizens and non-citizens residing on the national territory) at January 1st 2017</t>
  </si>
  <si>
    <t>Source: Drug Resistance Survey 2013-2014. An English review of all DRS conducted since 2003 is attached to this report.</t>
  </si>
  <si>
    <t xml:space="preserve">Source: WHO "Global TB Report 2016" (available here: http://apps.who.int/medicinedocs/documents/s23098en/s23098en.pdf); 
Numerator: 15,195 (total number of cases notified, all forms, including new &amp; relapses in 2015)
Denominator: 20,000,000 (Romanian resident population in 2015, reference used in the WHO report)
</t>
  </si>
  <si>
    <t>Source: NTP reporting, treatment success rate for the 2014 cohort.
Note: The numerator and denominator include both RR and MDR-TB cases.
The values for the 2015 cohort will be published in August 2018.</t>
  </si>
  <si>
    <t xml:space="preserve">Source: NTP online data base
Note: This is preliminary data for 2017 (269 MDR-TB and 95 RR cases). According to the NTP reporting calendar, an updated version will be available in May 2018 (for WHO reporting) and the final version will be issued in August 2018 (for the ECDC reporting). According to the NTP M&amp;E Manager, dr. Domnica Chiotan, the decrease compared to the target could be explained by: the steady increase in the treatment success rate, the increase in the case detection rate, the availability of treatment. However, a better understanding of the situation will be possible once the 2015 cohort data will become available and all the 2017 data will be verified (in summer 2018).
</t>
  </si>
  <si>
    <t xml:space="preserve">Source: NTP online data base
Note: 2017 preliminary data, reflecting the proportion of TB cases HIV positive who are on ARV treatment, out of the total number of new and relapse TB cases HIV positive.
</t>
  </si>
  <si>
    <t>Source: PR monitoring data
Note: Data is collected by the PR using questionnaires filled out in February 2018 by all the 30 dispensaries from the 6 counties included in the GF project. Data verification will be conducted in 2018. The patients who started the TB treatment in ambulatory are (almost 100%) patients with extrapulmonary TB or pulmonary TB patients who refused hospitalization. According to the current National TB Guidelines, the TB dispensaries have a role in treatment continuation, treatment initiation being the prerogative of the TB hospital. This situation might change when the ambulatory care reform will be implemented.</t>
  </si>
  <si>
    <t>Source: PR monitoring data
Note: Data is collected by the PR using questionnaires filled out in February 2018 by all the 30 dispensaries from the 6 counties included in the GF project. Data verification will be conducted in 2018. The two cases that  (re)started treatment in 2017 directly in ambulatory. Tipically, the MDR-TB treatment can be initiated only in the hospital (according to the current National TB Guidelines).</t>
  </si>
  <si>
    <t xml:space="preserve">On September 25th 2017, the PR conducted a verification of the(final) data reported by the NTP for the 2015 and 2016 indicators in the Performance Framework. The strategy used was the following: the PR received access to the TB online data base in the presence of the NTP M&amp;E expert and the TB online data base administrator. The 2015 and 2016 data was extracted using the Tessy module and two data bases were generated in the CVS format. The PR analize the data using a statistics programme and compared the results to the updates provided by the NTP. There was no deviation observed. 
As explained in the previous reports and also in the letter that the NTP sent ot the GF (August 22nd 2017), the quality of data entry is the responsbility of the M&amp;E team from the NTP and the NTP regional supervisors. The M&amp;E team verifies and validates manually and automatically (using some controls) all the cases inputed in the TB online data base by the dispensaries all around the country (personal identification data, test results, hospital admission dates etc.). If there is data missing or discrepancies are observed, the M&amp;E teams checks the electronic data against the paper records available at the local level and asks the dispensaries to make the necessary adjustments. The NTP regional supervisors on the other hand, visit yearly ALL the dispensaries and conduct a sample verification (&lt;10 cases/dispensary) on whether the paper records are inputted correctly in the TB online data base. If not, they instruct the staff, in writing, on how to prevent future data entry mistakes. These activities are conducted every year, but the data validation perfomed by the M&amp;E team is scheduled around two main yearly deadlines - the WHO reporting (May 31st) and ECDC reporting (August 31st).
As for verifying the Coverage of IPT among patients with Latent TB infection", the activity was delayed for the following reasons: 1) the TB dispensaries targeted by the verification (Dolj county) asked the PR to obtain a formal approval of the methodology from the newly appointed head of the NTP (dr. Adriana Socaci); 2) the head of the NTP did not issue the approval until his appointment was formalized through a published minister order. We got the approval at the end of October 2017, but it proved difficult to reschedule visits in all 6 dispensaries from the Dolj county at a time that was convenient for both the PR team and the staff from Dolj. The PR decided to postpone the activity and implement it in the first quarter of 2018. </t>
  </si>
  <si>
    <t xml:space="preserve">To implement the recommendation, the PR reached to the NTP to discuss the opportunity and timing of the action. The PR reflected the outcomes of this discussion with NTP on the feedback letter submitted to GF FPM on 11 August. The NTP expressed also directly their reservation towards the utility of this action in a letter sent to the GF on August 22nd 2017, stating that: 1) reviewing the implementation of all guidelines is part of the regular on-site supervision work conducted by the NTP experts; 2) a GLC mission is conducted yearly and every 5 years a review of the national strategy is scheduled (the next one in 2018); 3) at the recommendation was made, the guidelines developed under the GF were approved by the Pneumology Commission of MoH, but were pending approval by the other administrative departments (e.g. juridical). </t>
  </si>
  <si>
    <t xml:space="preserve">The CT, in consultation with GDF, has identified an international expert to help with sustainability arrangements for 2nd line anti-TB drug procurement in the country. As a result, a TA mission conducted by Dr. Ron Wehrens was conducted during January 2018 (draft report received and circulated to national partners for review). Moreover, under the advocacy plan, the PR contracted the experts of the Romanian Health Observatory (health think-tank) who assessed the situation of procurement of SL and group 5 anti-MDR/TB drugs and released an "Alert report" which has been endorsed by numerous organisation from Romania and abroad. The Report was endorsed and promoted by Romanian StopTB Partnership and triggered a public statement (press release) of the MoH, commiting to ensure full treatment for all TB cases and NTP budget increase for 2018 to 41 million Lei. In December, the MoH published on its website, in decisional transparency, a draft of Government Decision which includes all the anti-TB drugs for MDR/XDR on the list of compensated medication in Romania. This is an important step towards ensuring the legal changes that allows the MoH to procure TB drugs. </t>
  </si>
  <si>
    <t xml:space="preserve">This has been a challenging condition for the government as the political will to shift to ambulatory care is not strong and is hampered by frequent turnover in Ministry of Health leadership. To-date a pilot initiative has begun to test elements of the reform, but the working group which will oversee the implementation of the National Strategy, including the shift to ambulatory care reform, has yet to be established by the Ministry of Health. The TA  from WHO in developing model for ambulatory care included the concise list of work plan tracking measures based on the operational plan for the reform but the National TB Program has been quite conservative in moving forward, also because it lacks some baseline assessments on the current situation. The PR has taken stock of missing baseline assessments for justifying the need for a reform, and performed assessments involving consultants on the following areas: analysis of the current legislation regarding TB care in Romania, analysis of the mechanisms of financing and reimbursement of the TB services, development of the legal framework for TB treatment in Romania including reimbursement of the TB services offered by the TB doctors and family doctors. All these analysis as well as the WHO full report with recommendations and operational plan for ambulatory care reform have been submitted to the MoH and NTP and available on the program website (http://www.raa.ro/rapoarte-asistenta-tehnica/). Moreover, the PR submitted to GF on 28 February 2017 a reallocation request (approved by GF) that includes a new project / study implemented by NTP - Marius Nasta Institute. The objectives of the project/study implemented by NTP-Marius Nasta Institute has  two objectives.: 1) To assess the current state of the TB care actions, delivered in line with the National TB Strategy; 2) To use the assessment data to develop an operational plan (who? How? Where? When? With what?), that could help the actual development of TB patient-centered care in Romania. To achieve the two objectives, the following actions have been planned:
1) Conduct an inventory of the TB network situation (human resources &amp; infrastructure) and anticipate the network’s evolution based on various scenarios (e.g. decrease in TB incidence, TB ambulatory care reform etc.)
2) Assess the cost-efficiency of the current use of funds received from MoH and the National/County Insurance House and anticipate how the funding could be affected by various scenarios (e.g. decrease in TB incidence, TB ambulatory care reform etc.).
3) Conduct a prospective study that estimates how changes in patients’ discharge criteria (less hospitalization days) affect the TB units’ budgets and the patients’ health outcomes.
A team of 5 experts (under the coordination of Marius Nasta and with support from the PR) has already started to develop the methodology and instruments for implementing the above research activities. According to their contracts, by October 30th the methodology should have been be ready for implementation (including pre-testing and training of the staff involved), but due to frequent political changes that affected NTP leadership, structure and staffing during second part of 2017, this activity has been delayed. 
There is also a well-designed advocacyplan to help move the opinions of decisionmakers towards a more progressive care model. The implementation of the plan is supported by the CCM secretariat and by the PR and was translated into advocacy community meetings with local authorities and NGOs, advocacy activities related to TB law, UPR submission, etc. (as per the attached Update on Implementation of the Advocacy Plan).
</t>
  </si>
  <si>
    <t>Source: ARAS monitoring data, Q1-Q4 2017
Note:  As in 2016,  in 2017 too the target was overachieved. The main reason is that in 2016 and then in 2017, ARAS had to include in the GF project the PWID who were their clients under two other projects: one project, supported by the Norway Fund, ended in April-May 2016; a second, supported by the Bucharest City Hall, ended in May 2017. At the time these projects ended, the GF project remained the only one providing harm reduction services in outreach and at the low threshold clinics. As a result, the PWID from the other two project were included in the GF funded services. This supplementation of PWID reached was made within the limits of the available budget. ARAS managed to reach more people with the minimum package of services by decreasing the average number of health products distributed per client.</t>
  </si>
  <si>
    <t>For the XDR in the 2014 cohort, the measurement of the treatment success rate ends at 36 months (2017) and is analysed and published the earliest in May 2018 (WHO reporting)</t>
  </si>
  <si>
    <t>No short regimens are used</t>
  </si>
  <si>
    <t>NO</t>
  </si>
  <si>
    <t>For the year 2017 the audit is in place</t>
  </si>
  <si>
    <t>no major comment</t>
  </si>
  <si>
    <t>Not the case</t>
  </si>
  <si>
    <t>The absorbtion rate for the prior annual period was 53%. In this respect, in March 2017 a realocation was made and approved by FPM</t>
  </si>
  <si>
    <t>The Annual Cash Forecast take into consideration the No cost extension period and savings from Forex</t>
  </si>
  <si>
    <t>Source: NTP reporting system
Denominator: New cases confirmed bacteriologically in 2017
Numerator: MDR-TB cases (new)</t>
  </si>
  <si>
    <t>Source: NTP reporting system
Denominator: Retreatments reported in 2017
Numerator: MDR-TB cases (all, including new cases)</t>
  </si>
  <si>
    <t>Source: NTP reporting system (numerator); National Institute of Statistics (denominator)
Numerator: total number of cases notified, all forms, including new &amp; relapses.
Denominator: Romanian resident population in 2016</t>
  </si>
  <si>
    <t>Source: NTP reporting system, treatment success rate for the 2014 cohort.
Note: The numerator and denominator include both RR and MDR-TB cases.
The values for the 2015 cohort will be published in August 2018.</t>
  </si>
  <si>
    <t>Source: NTP reporting system.</t>
  </si>
  <si>
    <t xml:space="preserve">Source: NTP reporting system
Note: Data measured at 12 months (2017) for the 2016 cohort. 
</t>
  </si>
  <si>
    <t>Source: NTP reporting system</t>
  </si>
</sst>
</file>

<file path=xl/styles.xml><?xml version="1.0" encoding="utf-8"?>
<styleSheet xmlns="http://schemas.openxmlformats.org/spreadsheetml/2006/main" xmlns:mc="http://schemas.openxmlformats.org/markup-compatibility/2006" xmlns:x14ac="http://schemas.microsoft.com/office/spreadsheetml/2009/9/ac" mc:Ignorable="x14ac">
  <numFmts count="23">
    <numFmt numFmtId="6" formatCode="&quot;$&quot;#,##0_);[Red]\(&quot;$&quot;#,##0\)"/>
    <numFmt numFmtId="8" formatCode="&quot;$&quot;#,##0.00_);[Red]\(&quot;$&quot;#,##0.00\)"/>
    <numFmt numFmtId="44" formatCode="_(&quot;$&quot;* #,##0.00_);_(&quot;$&quot;* \(#,##0.00\);_(&quot;$&quot;* &quot;-&quot;??_);_(@_)"/>
    <numFmt numFmtId="43" formatCode="_(* #,##0.00_);_(* \(#,##0.00\);_(* &quot;-&quot;??_);_(@_)"/>
    <numFmt numFmtId="164" formatCode="_ * #,##0.00_ ;_ * \-#,##0.00_ ;_ * &quot;-&quot;??_ ;_ @_ "/>
    <numFmt numFmtId="165" formatCode="_ * #,##0_ ;_ * \-#,##0_ ;_ * &quot;-&quot;??_ ;_ @_ "/>
    <numFmt numFmtId="166" formatCode="#,##0.00;[Red]\(#,##0.00\)"/>
    <numFmt numFmtId="167" formatCode="[$-409]d\-mmm\-yy;@"/>
    <numFmt numFmtId="168" formatCode="[$-809]dd\ mmmm\ yyyy;@"/>
    <numFmt numFmtId="169" formatCode="_(* #,##0_);_(* \(#,##0\);_(* &quot;-&quot;??_);_(@_)"/>
    <numFmt numFmtId="170" formatCode="0.0%"/>
    <numFmt numFmtId="171" formatCode="#,##0.0000"/>
    <numFmt numFmtId="172" formatCode="#,##0.00000"/>
    <numFmt numFmtId="173" formatCode="#,##0;[Red]#,##0"/>
    <numFmt numFmtId="174" formatCode="&quot;$&quot;#,##0"/>
    <numFmt numFmtId="175" formatCode="0.000000"/>
    <numFmt numFmtId="176" formatCode="0.00##\%;[Red]\(0.00##\%\)"/>
    <numFmt numFmtId="177" formatCode="#,##0.00####"/>
    <numFmt numFmtId="178" formatCode="#,##0.00_ ;[Red]\-#,##0.00\ "/>
    <numFmt numFmtId="179" formatCode="#,##0.0_ ;[Red]\-#,##0.0\ "/>
    <numFmt numFmtId="180" formatCode="_(* #,##0_);_(* \(#,##0\);_(@_)"/>
    <numFmt numFmtId="181" formatCode="_(* #,##0.00_);_(* \(#,##0.00\);_(@_)"/>
    <numFmt numFmtId="182" formatCode="&quot;$&quot;#,##0;[Red]\-&quot;$&quot;#,##0"/>
  </numFmts>
  <fonts count="122"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2"/>
      <name val="Arial"/>
      <family val="2"/>
    </font>
    <font>
      <sz val="10"/>
      <name val="Arial"/>
      <family val="2"/>
    </font>
    <font>
      <sz val="8"/>
      <name val="Arial"/>
      <family val="2"/>
    </font>
    <font>
      <sz val="11"/>
      <color indexed="9"/>
      <name val="Arial"/>
      <family val="2"/>
    </font>
    <font>
      <b/>
      <sz val="11"/>
      <color indexed="12"/>
      <name val="Arial"/>
      <family val="2"/>
    </font>
    <font>
      <sz val="10"/>
      <name val="Arial"/>
      <family val="2"/>
    </font>
    <font>
      <b/>
      <sz val="11"/>
      <name val="Georgia"/>
      <family val="1"/>
    </font>
    <font>
      <sz val="11"/>
      <name val="Georgia"/>
      <family val="1"/>
    </font>
    <font>
      <b/>
      <sz val="11"/>
      <color rgb="FF3F3F3F"/>
      <name val="Calibri"/>
      <family val="2"/>
      <scheme val="minor"/>
    </font>
    <font>
      <b/>
      <sz val="18"/>
      <name val="Georgia"/>
      <family val="1"/>
    </font>
    <font>
      <sz val="10"/>
      <name val="Georgia"/>
      <family val="1"/>
    </font>
    <font>
      <sz val="12"/>
      <name val="Georgia"/>
      <family val="1"/>
    </font>
    <font>
      <b/>
      <sz val="12"/>
      <name val="Georgia"/>
      <family val="1"/>
    </font>
    <font>
      <b/>
      <sz val="12"/>
      <color rgb="FFFF0000"/>
      <name val="Georgia"/>
      <family val="1"/>
    </font>
    <font>
      <sz val="11"/>
      <color theme="0"/>
      <name val="Georgia"/>
      <family val="1"/>
    </font>
    <font>
      <sz val="10"/>
      <color theme="0"/>
      <name val="Georgia"/>
      <family val="1"/>
    </font>
    <font>
      <b/>
      <sz val="16"/>
      <name val="Georgia"/>
      <family val="1"/>
    </font>
    <font>
      <b/>
      <sz val="11"/>
      <color indexed="12"/>
      <name val="Georgia"/>
      <family val="1"/>
    </font>
    <font>
      <b/>
      <sz val="11"/>
      <color rgb="FF3F3F3F"/>
      <name val="Georgia"/>
      <family val="1"/>
    </font>
    <font>
      <b/>
      <sz val="10"/>
      <name val="Georgia"/>
      <family val="1"/>
    </font>
    <font>
      <b/>
      <sz val="11"/>
      <color indexed="9"/>
      <name val="Georgia"/>
      <family val="1"/>
    </font>
    <font>
      <sz val="11"/>
      <color rgb="FFFF0000"/>
      <name val="Georgia"/>
      <family val="1"/>
    </font>
    <font>
      <sz val="11"/>
      <color theme="1"/>
      <name val="Georgia"/>
      <family val="1"/>
    </font>
    <font>
      <sz val="10"/>
      <color theme="1"/>
      <name val="Georgia"/>
      <family val="1"/>
    </font>
    <font>
      <b/>
      <sz val="14"/>
      <color indexed="9"/>
      <name val="Georgia"/>
      <family val="1"/>
    </font>
    <font>
      <b/>
      <sz val="24"/>
      <color rgb="FF0070C0"/>
      <name val="Georgia"/>
      <family val="1"/>
    </font>
    <font>
      <b/>
      <sz val="14"/>
      <name val="Georgia"/>
      <family val="1"/>
    </font>
    <font>
      <b/>
      <sz val="12"/>
      <color indexed="9"/>
      <name val="Georgia"/>
      <family val="1"/>
    </font>
    <font>
      <b/>
      <sz val="12"/>
      <color indexed="12"/>
      <name val="Georgia"/>
      <family val="1"/>
    </font>
    <font>
      <u/>
      <sz val="12"/>
      <name val="Georgia"/>
      <family val="1"/>
    </font>
    <font>
      <sz val="12"/>
      <color indexed="12"/>
      <name val="Georgia"/>
      <family val="1"/>
    </font>
    <font>
      <b/>
      <sz val="13"/>
      <color indexed="12"/>
      <name val="Georgia"/>
      <family val="1"/>
    </font>
    <font>
      <sz val="13"/>
      <name val="Georgia"/>
      <family val="1"/>
    </font>
    <font>
      <sz val="11"/>
      <color indexed="53"/>
      <name val="Georgia"/>
      <family val="1"/>
    </font>
    <font>
      <sz val="10"/>
      <color indexed="9"/>
      <name val="Georgia"/>
      <family val="1"/>
    </font>
    <font>
      <sz val="11"/>
      <color indexed="8"/>
      <name val="Georgia"/>
      <family val="1"/>
    </font>
    <font>
      <sz val="14"/>
      <name val="Georgia"/>
      <family val="1"/>
    </font>
    <font>
      <b/>
      <sz val="14"/>
      <color indexed="12"/>
      <name val="Georgia"/>
      <family val="1"/>
    </font>
    <font>
      <u/>
      <sz val="14"/>
      <name val="Georgia"/>
      <family val="1"/>
    </font>
    <font>
      <sz val="14"/>
      <color indexed="12"/>
      <name val="Georgia"/>
      <family val="1"/>
    </font>
    <font>
      <sz val="10"/>
      <color indexed="10"/>
      <name val="Georgia"/>
      <family val="1"/>
    </font>
    <font>
      <b/>
      <sz val="20"/>
      <color theme="3" tint="0.39997558519241921"/>
      <name val="Georgia"/>
      <family val="1"/>
    </font>
    <font>
      <sz val="10"/>
      <color rgb="FFFF0000"/>
      <name val="Georgia"/>
      <family val="1"/>
    </font>
    <font>
      <sz val="12"/>
      <color indexed="8"/>
      <name val="Georgia"/>
      <family val="1"/>
    </font>
    <font>
      <b/>
      <sz val="24"/>
      <name val="Georgia"/>
      <family val="1"/>
    </font>
    <font>
      <sz val="12"/>
      <name val="Calibri"/>
      <family val="2"/>
    </font>
    <font>
      <b/>
      <sz val="20"/>
      <name val="Georgia"/>
      <family val="1"/>
    </font>
    <font>
      <sz val="24"/>
      <name val="Georgia"/>
      <family val="1"/>
    </font>
    <font>
      <b/>
      <sz val="11"/>
      <color theme="1"/>
      <name val="Georgia"/>
      <family val="1"/>
    </font>
    <font>
      <b/>
      <sz val="36"/>
      <name val="Georgia"/>
      <family val="1"/>
    </font>
    <font>
      <sz val="36"/>
      <name val="Georgia"/>
      <family val="1"/>
    </font>
    <font>
      <b/>
      <sz val="14"/>
      <color indexed="8"/>
      <name val="Georgia"/>
      <family val="1"/>
    </font>
    <font>
      <b/>
      <sz val="12"/>
      <color theme="1"/>
      <name val="Georgia"/>
      <family val="1"/>
    </font>
    <font>
      <b/>
      <sz val="14"/>
      <color theme="3" tint="0.39997558519241921"/>
      <name val="Georgia"/>
      <family val="1"/>
    </font>
    <font>
      <sz val="36"/>
      <color rgb="FFFF0000"/>
      <name val="Georgia"/>
      <family val="1"/>
    </font>
    <font>
      <b/>
      <sz val="12"/>
      <color rgb="FF3F3F3F"/>
      <name val="Georgia"/>
      <family val="1"/>
    </font>
    <font>
      <sz val="11"/>
      <color rgb="FFFF0000"/>
      <name val="Calibri"/>
      <family val="2"/>
      <scheme val="minor"/>
    </font>
    <font>
      <sz val="12"/>
      <color rgb="FF3F3F3F"/>
      <name val="Georgia"/>
      <family val="1"/>
    </font>
    <font>
      <sz val="10.199999999999999"/>
      <name val="Georgia"/>
      <family val="1"/>
    </font>
    <font>
      <b/>
      <i/>
      <sz val="12"/>
      <name val="Georgia"/>
      <family val="1"/>
    </font>
    <font>
      <i/>
      <sz val="12"/>
      <name val="Georgia"/>
      <family val="1"/>
    </font>
    <font>
      <b/>
      <sz val="20"/>
      <color rgb="FF0070C0"/>
      <name val="Georgia"/>
      <family val="1"/>
    </font>
    <font>
      <sz val="12"/>
      <color theme="1"/>
      <name val="Georgia"/>
      <family val="1"/>
    </font>
    <font>
      <sz val="11"/>
      <color theme="1"/>
      <name val="Arial"/>
      <family val="2"/>
    </font>
    <font>
      <b/>
      <sz val="22"/>
      <name val="Georgia"/>
      <family val="1"/>
    </font>
    <font>
      <sz val="12"/>
      <color theme="1"/>
      <name val="Calibri"/>
      <family val="2"/>
      <scheme val="minor"/>
    </font>
    <font>
      <sz val="18"/>
      <color theme="1"/>
      <name val="Georgia"/>
      <family val="1"/>
    </font>
    <font>
      <sz val="12"/>
      <color theme="0"/>
      <name val="Georgia"/>
      <family val="1"/>
    </font>
    <font>
      <sz val="24"/>
      <color theme="1"/>
      <name val="Georgia"/>
      <family val="1"/>
    </font>
    <font>
      <sz val="24"/>
      <color theme="0"/>
      <name val="Georgia"/>
      <family val="1"/>
    </font>
    <font>
      <b/>
      <sz val="14"/>
      <color theme="0"/>
      <name val="Georgia"/>
      <family val="1"/>
    </font>
    <font>
      <sz val="10"/>
      <color theme="0"/>
      <name val="Arial"/>
      <family val="2"/>
    </font>
    <font>
      <b/>
      <sz val="11"/>
      <color theme="0"/>
      <name val="Helvetica"/>
    </font>
    <font>
      <b/>
      <sz val="10"/>
      <name val="Arial"/>
      <family val="2"/>
    </font>
    <font>
      <sz val="12"/>
      <color rgb="FFFF0000"/>
      <name val="Georgia"/>
      <family val="1"/>
    </font>
    <font>
      <sz val="7"/>
      <color theme="0"/>
      <name val="Arial"/>
      <family val="2"/>
    </font>
    <font>
      <sz val="14"/>
      <color theme="1"/>
      <name val="Georgia"/>
      <family val="1"/>
    </font>
    <font>
      <b/>
      <sz val="11"/>
      <color theme="1"/>
      <name val="Arial"/>
      <family val="2"/>
    </font>
    <font>
      <sz val="11"/>
      <color theme="0" tint="-0.34998626667073579"/>
      <name val="Georgia"/>
      <family val="1"/>
    </font>
    <font>
      <sz val="11"/>
      <color rgb="FFFFFFFF"/>
      <name val="Georgia"/>
      <family val="1"/>
    </font>
    <font>
      <b/>
      <sz val="12"/>
      <color theme="0" tint="-0.34998626667073579"/>
      <name val="Georgia"/>
      <family val="1"/>
    </font>
    <font>
      <sz val="10"/>
      <color theme="0" tint="-0.34998626667073579"/>
      <name val="Georgia"/>
      <family val="1"/>
    </font>
    <font>
      <b/>
      <u/>
      <sz val="14"/>
      <color theme="0" tint="-0.34998626667073579"/>
      <name val="Georgia"/>
      <family val="1"/>
    </font>
    <font>
      <b/>
      <i/>
      <sz val="14"/>
      <color theme="0" tint="-0.34998626667073579"/>
      <name val="Georgia"/>
      <family val="1"/>
    </font>
    <font>
      <sz val="12"/>
      <color theme="0" tint="-0.34998626667073579"/>
      <name val="Georgia"/>
      <family val="1"/>
    </font>
    <font>
      <sz val="11"/>
      <color rgb="FFBCBCBC"/>
      <name val="Georgia"/>
      <family val="1"/>
    </font>
    <font>
      <sz val="11"/>
      <color rgb="FFB0B0B0"/>
      <name val="Georgia"/>
      <family val="1"/>
    </font>
    <font>
      <u/>
      <sz val="10"/>
      <name val="Arial"/>
      <family val="2"/>
    </font>
    <font>
      <b/>
      <strike/>
      <sz val="11"/>
      <name val="Georgia"/>
      <family val="1"/>
    </font>
    <font>
      <sz val="10"/>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charset val="204"/>
    </font>
  </fonts>
  <fills count="57">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42"/>
        <bgColor indexed="64"/>
      </patternFill>
    </fill>
    <fill>
      <patternFill patternType="solid">
        <fgColor indexed="8"/>
        <bgColor indexed="64"/>
      </patternFill>
    </fill>
    <fill>
      <patternFill patternType="solid">
        <fgColor theme="0"/>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92D050"/>
        <bgColor indexed="64"/>
      </patternFill>
    </fill>
    <fill>
      <patternFill patternType="solid">
        <fgColor rgb="FFCCFFCC"/>
        <bgColor indexed="64"/>
      </patternFill>
    </fill>
    <fill>
      <patternFill patternType="solid">
        <fgColor rgb="FFC1F4BA"/>
        <bgColor indexed="64"/>
      </patternFill>
    </fill>
    <fill>
      <patternFill patternType="solid">
        <fgColor rgb="FFFFFF99"/>
        <bgColor indexed="64"/>
      </patternFill>
    </fill>
    <fill>
      <patternFill patternType="solid">
        <fgColor theme="1" tint="4.9989318521683403E-2"/>
        <bgColor indexed="64"/>
      </patternFill>
    </fill>
    <fill>
      <patternFill patternType="solid">
        <fgColor rgb="FFF2F2F2"/>
      </patternFill>
    </fill>
    <fill>
      <patternFill patternType="solid">
        <fgColor theme="4" tint="0.79998168889431442"/>
        <bgColor indexed="64"/>
      </patternFill>
    </fill>
    <fill>
      <patternFill patternType="solid">
        <fgColor theme="9" tint="0.79998168889431442"/>
        <bgColor indexed="64"/>
      </patternFill>
    </fill>
    <fill>
      <patternFill patternType="solid">
        <fgColor theme="1"/>
        <bgColor indexed="64"/>
      </patternFill>
    </fill>
    <fill>
      <patternFill patternType="solid">
        <fgColor theme="0" tint="-0.499984740745262"/>
        <bgColor indexed="64"/>
      </patternFill>
    </fill>
    <fill>
      <patternFill patternType="mediumGray">
        <bgColor theme="0"/>
      </patternFill>
    </fill>
    <fill>
      <patternFill patternType="lightGray">
        <bgColor theme="0"/>
      </patternFill>
    </fill>
    <fill>
      <patternFill patternType="solid">
        <fgColor rgb="FFC0C0C0"/>
        <bgColor indexed="64"/>
      </patternFill>
    </fill>
    <fill>
      <patternFill patternType="solid">
        <fgColor rgb="FFDCE6F1"/>
        <bgColor indexed="64"/>
      </patternFill>
    </fill>
    <fill>
      <patternFill patternType="solid">
        <fgColor rgb="FFF2F2F2"/>
        <bgColor indexed="64"/>
      </patternFill>
    </fill>
    <fill>
      <patternFill patternType="solid">
        <fgColor rgb="FFFDE9D9"/>
        <bgColor indexed="64"/>
      </patternFill>
    </fill>
    <fill>
      <patternFill patternType="solid">
        <fgColor rgb="FFB0B0B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55">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medium">
        <color indexed="64"/>
      </bottom>
      <diagonal/>
    </border>
    <border>
      <left/>
      <right/>
      <top style="medium">
        <color indexed="64"/>
      </top>
      <bottom style="thin">
        <color indexed="64"/>
      </bottom>
      <diagonal/>
    </border>
    <border>
      <left/>
      <right style="thin">
        <color indexed="64"/>
      </right>
      <top/>
      <bottom/>
      <diagonal/>
    </border>
    <border>
      <left/>
      <right/>
      <top/>
      <bottom style="medium">
        <color indexed="64"/>
      </bottom>
      <diagonal/>
    </border>
    <border>
      <left style="medium">
        <color indexed="64"/>
      </left>
      <right/>
      <top/>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style="thin">
        <color indexed="9"/>
      </left>
      <right/>
      <top style="thin">
        <color indexed="9"/>
      </top>
      <bottom style="thin">
        <color indexed="9"/>
      </bottom>
      <diagonal/>
    </border>
    <border>
      <left style="thin">
        <color indexed="9"/>
      </left>
      <right style="thin">
        <color indexed="9"/>
      </right>
      <top style="thin">
        <color indexed="9"/>
      </top>
      <bottom/>
      <diagonal/>
    </border>
    <border>
      <left style="thin">
        <color indexed="9"/>
      </left>
      <right style="thin">
        <color indexed="9"/>
      </right>
      <top style="thin">
        <color indexed="9"/>
      </top>
      <bottom style="thin">
        <color indexed="9"/>
      </bottom>
      <diagonal/>
    </border>
    <border>
      <left/>
      <right/>
      <top style="thin">
        <color indexed="9"/>
      </top>
      <bottom/>
      <diagonal/>
    </border>
    <border>
      <left style="thin">
        <color indexed="9"/>
      </left>
      <right style="thin">
        <color indexed="9"/>
      </right>
      <top style="medium">
        <color indexed="64"/>
      </top>
      <bottom/>
      <diagonal/>
    </border>
    <border>
      <left/>
      <right/>
      <top style="thin">
        <color indexed="9"/>
      </top>
      <bottom style="thin">
        <color indexed="9"/>
      </bottom>
      <diagonal/>
    </border>
    <border>
      <left style="thin">
        <color indexed="9"/>
      </left>
      <right/>
      <top/>
      <bottom style="thin">
        <color indexed="9"/>
      </bottom>
      <diagonal/>
    </border>
    <border>
      <left style="thin">
        <color indexed="9"/>
      </left>
      <right style="thin">
        <color indexed="9"/>
      </right>
      <top/>
      <bottom style="thin">
        <color indexed="9"/>
      </bottom>
      <diagonal/>
    </border>
    <border>
      <left style="thin">
        <color indexed="9"/>
      </left>
      <right style="thin">
        <color indexed="9"/>
      </right>
      <top/>
      <bottom/>
      <diagonal/>
    </border>
    <border>
      <left style="thin">
        <color indexed="9"/>
      </left>
      <right/>
      <top style="thin">
        <color indexed="9"/>
      </top>
      <bottom/>
      <diagonal/>
    </border>
    <border>
      <left/>
      <right style="thin">
        <color indexed="9"/>
      </right>
      <top style="thin">
        <color indexed="9"/>
      </top>
      <bottom style="thin">
        <color indexed="9"/>
      </bottom>
      <diagonal/>
    </border>
    <border>
      <left/>
      <right/>
      <top style="medium">
        <color indexed="64"/>
      </top>
      <bottom/>
      <diagonal/>
    </border>
    <border>
      <left/>
      <right/>
      <top/>
      <bottom style="thin">
        <color indexed="9"/>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style="thin">
        <color indexed="9"/>
      </left>
      <right/>
      <top/>
      <bottom/>
      <diagonal/>
    </border>
    <border>
      <left style="medium">
        <color indexed="64"/>
      </left>
      <right/>
      <top style="thin">
        <color indexed="64"/>
      </top>
      <bottom/>
      <diagonal/>
    </border>
    <border>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bottom/>
      <diagonal/>
    </border>
    <border>
      <left/>
      <right style="medium">
        <color indexed="64"/>
      </right>
      <top/>
      <bottom/>
      <diagonal/>
    </border>
    <border>
      <left style="thin">
        <color indexed="9"/>
      </left>
      <right style="thin">
        <color indexed="9"/>
      </right>
      <top style="medium">
        <color indexed="64"/>
      </top>
      <bottom style="medium">
        <color indexed="64"/>
      </bottom>
      <diagonal/>
    </border>
    <border>
      <left style="thin">
        <color indexed="64"/>
      </left>
      <right style="thin">
        <color indexed="64"/>
      </right>
      <top style="medium">
        <color indexed="64"/>
      </top>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style="medium">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bottom style="medium">
        <color indexed="64"/>
      </bottom>
      <diagonal/>
    </border>
    <border>
      <left style="medium">
        <color indexed="64"/>
      </left>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top style="thin">
        <color indexed="64"/>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diagonal/>
    </border>
    <border>
      <left style="thin">
        <color rgb="FF3F3F3F"/>
      </left>
      <right style="thin">
        <color rgb="FF3F3F3F"/>
      </right>
      <top style="thin">
        <color rgb="FF3F3F3F"/>
      </top>
      <bottom style="thin">
        <color rgb="FF3F3F3F"/>
      </bottom>
      <diagonal/>
    </border>
    <border>
      <left style="medium">
        <color indexed="64"/>
      </left>
      <right style="medium">
        <color indexed="64"/>
      </right>
      <top style="thin">
        <color indexed="64"/>
      </top>
      <bottom style="medium">
        <color indexed="64"/>
      </bottom>
      <diagonal/>
    </border>
    <border>
      <left style="medium">
        <color indexed="64"/>
      </left>
      <right/>
      <top/>
      <bottom style="thin">
        <color indexed="64"/>
      </bottom>
      <diagonal/>
    </border>
    <border>
      <left style="medium">
        <color indexed="64"/>
      </left>
      <right style="medium">
        <color indexed="64"/>
      </right>
      <top/>
      <bottom/>
      <diagonal/>
    </border>
    <border>
      <left style="thick">
        <color indexed="64"/>
      </left>
      <right style="thin">
        <color indexed="64"/>
      </right>
      <top style="thin">
        <color indexed="64"/>
      </top>
      <bottom style="thin">
        <color indexed="64"/>
      </bottom>
      <diagonal/>
    </border>
    <border>
      <left style="thick">
        <color indexed="64"/>
      </left>
      <right style="thin">
        <color indexed="64"/>
      </right>
      <top style="thin">
        <color indexed="64"/>
      </top>
      <bottom style="medium">
        <color indexed="64"/>
      </bottom>
      <diagonal/>
    </border>
    <border>
      <left style="thin">
        <color indexed="64"/>
      </left>
      <right style="medium">
        <color indexed="64"/>
      </right>
      <top style="dotted">
        <color indexed="64"/>
      </top>
      <bottom/>
      <diagonal/>
    </border>
    <border>
      <left style="medium">
        <color indexed="64"/>
      </left>
      <right style="thick">
        <color indexed="64"/>
      </right>
      <top style="thin">
        <color indexed="64"/>
      </top>
      <bottom style="medium">
        <color indexed="64"/>
      </bottom>
      <diagonal/>
    </border>
    <border>
      <left style="medium">
        <color indexed="64"/>
      </left>
      <right style="medium">
        <color indexed="64"/>
      </right>
      <top style="thin">
        <color indexed="64"/>
      </top>
      <bottom/>
      <diagonal/>
    </border>
    <border>
      <left/>
      <right style="thin">
        <color indexed="9"/>
      </right>
      <top style="medium">
        <color indexed="64"/>
      </top>
      <bottom/>
      <diagonal/>
    </border>
    <border>
      <left style="thin">
        <color indexed="9"/>
      </left>
      <right style="medium">
        <color indexed="64"/>
      </right>
      <top style="medium">
        <color indexed="64"/>
      </top>
      <bottom/>
      <diagonal/>
    </border>
    <border>
      <left style="thin">
        <color indexed="9"/>
      </left>
      <right/>
      <top/>
      <bottom style="medium">
        <color indexed="64"/>
      </bottom>
      <diagonal/>
    </border>
    <border>
      <left/>
      <right style="thin">
        <color indexed="9"/>
      </right>
      <top style="thin">
        <color indexed="9"/>
      </top>
      <bottom style="thin">
        <color indexed="64"/>
      </bottom>
      <diagonal/>
    </border>
    <border>
      <left style="medium">
        <color indexed="64"/>
      </left>
      <right style="thin">
        <color indexed="64"/>
      </right>
      <top style="thin">
        <color indexed="64"/>
      </top>
      <bottom/>
      <diagonal/>
    </border>
    <border>
      <left style="hair">
        <color rgb="FF33CCCC"/>
      </left>
      <right style="hair">
        <color rgb="FF33CCCC"/>
      </right>
      <top style="hair">
        <color rgb="FF33CCCC"/>
      </top>
      <bottom style="hair">
        <color rgb="FF33CCCC"/>
      </bottom>
      <diagonal/>
    </border>
    <border>
      <left style="hair">
        <color rgb="FF33CCCC"/>
      </left>
      <right style="hair">
        <color rgb="FF33CCCC"/>
      </right>
      <top/>
      <bottom style="hair">
        <color rgb="FF33CCCC"/>
      </bottom>
      <diagonal/>
    </border>
    <border>
      <left style="medium">
        <color indexed="64"/>
      </left>
      <right style="hair">
        <color rgb="FF33CCCC"/>
      </right>
      <top/>
      <bottom style="hair">
        <color rgb="FF33CCCC"/>
      </bottom>
      <diagonal/>
    </border>
    <border>
      <left style="medium">
        <color indexed="64"/>
      </left>
      <right style="hair">
        <color rgb="FF33CCCC"/>
      </right>
      <top style="hair">
        <color rgb="FF33CCCC"/>
      </top>
      <bottom style="hair">
        <color rgb="FF33CCCC"/>
      </bottom>
      <diagonal/>
    </border>
    <border>
      <left style="medium">
        <color indexed="64"/>
      </left>
      <right style="hair">
        <color rgb="FF33CCCC"/>
      </right>
      <top style="medium">
        <color indexed="64"/>
      </top>
      <bottom style="medium">
        <color indexed="64"/>
      </bottom>
      <diagonal/>
    </border>
    <border>
      <left style="hair">
        <color rgb="FF33CCCC"/>
      </left>
      <right style="hair">
        <color rgb="FF33CCCC"/>
      </right>
      <top style="medium">
        <color indexed="64"/>
      </top>
      <bottom style="medium">
        <color indexed="64"/>
      </bottom>
      <diagonal/>
    </border>
    <border>
      <left style="hair">
        <color rgb="FF33CCCC"/>
      </left>
      <right style="medium">
        <color indexed="64"/>
      </right>
      <top style="medium">
        <color indexed="64"/>
      </top>
      <bottom style="medium">
        <color indexed="64"/>
      </bottom>
      <diagonal/>
    </border>
    <border>
      <left/>
      <right style="hair">
        <color rgb="FF33CCCC"/>
      </right>
      <top style="hair">
        <color rgb="FF33CCCC"/>
      </top>
      <bottom style="medium">
        <color indexed="64"/>
      </bottom>
      <diagonal/>
    </border>
    <border>
      <left style="hair">
        <color rgb="FF33CCCC"/>
      </left>
      <right style="hair">
        <color rgb="FF33CCCC"/>
      </right>
      <top style="medium">
        <color indexed="64"/>
      </top>
      <bottom/>
      <diagonal/>
    </border>
    <border>
      <left style="medium">
        <color indexed="64"/>
      </left>
      <right style="hair">
        <color rgb="FF33CCCC"/>
      </right>
      <top style="medium">
        <color indexed="64"/>
      </top>
      <bottom/>
      <diagonal/>
    </border>
    <border>
      <left/>
      <right style="hair">
        <color rgb="FF33CCCC"/>
      </right>
      <top style="hair">
        <color rgb="FF33CCCC"/>
      </top>
      <bottom style="hair">
        <color rgb="FF33CCCC"/>
      </bottom>
      <diagonal/>
    </border>
    <border>
      <left style="hair">
        <color rgb="FF33CCCC"/>
      </left>
      <right/>
      <top style="medium">
        <color indexed="64"/>
      </top>
      <bottom style="hair">
        <color rgb="FF33CCCC"/>
      </bottom>
      <diagonal/>
    </border>
    <border>
      <left/>
      <right/>
      <top style="medium">
        <color indexed="64"/>
      </top>
      <bottom style="hair">
        <color rgb="FF33CCCC"/>
      </bottom>
      <diagonal/>
    </border>
    <border>
      <left/>
      <right style="hair">
        <color rgb="FF33CCCC"/>
      </right>
      <top style="medium">
        <color indexed="64"/>
      </top>
      <bottom style="hair">
        <color rgb="FF33CCCC"/>
      </bottom>
      <diagonal/>
    </border>
    <border>
      <left style="hair">
        <color rgb="FF33CCCC"/>
      </left>
      <right/>
      <top style="hair">
        <color rgb="FF33CCCC"/>
      </top>
      <bottom style="hair">
        <color rgb="FF33CCCC"/>
      </bottom>
      <diagonal/>
    </border>
    <border>
      <left style="hair">
        <color theme="8"/>
      </left>
      <right style="hair">
        <color theme="8"/>
      </right>
      <top style="hair">
        <color theme="8"/>
      </top>
      <bottom style="hair">
        <color theme="8"/>
      </bottom>
      <diagonal/>
    </border>
    <border>
      <left style="hair">
        <color theme="8"/>
      </left>
      <right style="hair">
        <color theme="8"/>
      </right>
      <top/>
      <bottom style="hair">
        <color theme="8"/>
      </bottom>
      <diagonal/>
    </border>
    <border>
      <left style="hair">
        <color rgb="FF33CCCC"/>
      </left>
      <right/>
      <top/>
      <bottom style="hair">
        <color rgb="FF33CCCC"/>
      </bottom>
      <diagonal/>
    </border>
    <border>
      <left/>
      <right/>
      <top style="medium">
        <color auto="1"/>
      </top>
      <bottom style="hair">
        <color theme="8"/>
      </bottom>
      <diagonal/>
    </border>
    <border>
      <left/>
      <right/>
      <top style="hair">
        <color theme="8"/>
      </top>
      <bottom style="medium">
        <color theme="1"/>
      </bottom>
      <diagonal/>
    </border>
    <border>
      <left style="hair">
        <color theme="8"/>
      </left>
      <right/>
      <top style="hair">
        <color theme="8"/>
      </top>
      <bottom style="hair">
        <color theme="8"/>
      </bottom>
      <diagonal/>
    </border>
    <border>
      <left style="medium">
        <color indexed="64"/>
      </left>
      <right/>
      <top style="dotted">
        <color indexed="64"/>
      </top>
      <bottom/>
      <diagonal/>
    </border>
    <border>
      <left style="medium">
        <color indexed="64"/>
      </left>
      <right style="thin">
        <color indexed="64"/>
      </right>
      <top style="dotted">
        <color indexed="64"/>
      </top>
      <bottom/>
      <diagonal/>
    </border>
    <border>
      <left style="thin">
        <color indexed="64"/>
      </left>
      <right style="thin">
        <color indexed="64"/>
      </right>
      <top style="dotted">
        <color indexed="64"/>
      </top>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hair">
        <color rgb="FF00B0F0"/>
      </left>
      <right style="hair">
        <color rgb="FF00B0F0"/>
      </right>
      <top style="hair">
        <color rgb="FF00B0F0"/>
      </top>
      <bottom style="hair">
        <color rgb="FF00B0F0"/>
      </bottom>
      <diagonal/>
    </border>
    <border>
      <left style="hair">
        <color rgb="FF00B0F0"/>
      </left>
      <right/>
      <top style="hair">
        <color rgb="FF00B0F0"/>
      </top>
      <bottom style="hair">
        <color rgb="FF00B0F0"/>
      </bottom>
      <diagonal/>
    </border>
    <border>
      <left/>
      <right style="hair">
        <color rgb="FF00B0F0"/>
      </right>
      <top style="hair">
        <color rgb="FF00B0F0"/>
      </top>
      <bottom style="hair">
        <color rgb="FF00B0F0"/>
      </bottom>
      <diagonal/>
    </border>
    <border>
      <left style="hair">
        <color rgb="FF00B0F0"/>
      </left>
      <right style="hair">
        <color rgb="FF00B0F0"/>
      </right>
      <top style="hair">
        <color rgb="FF00B0F0"/>
      </top>
      <bottom style="medium">
        <color indexed="64"/>
      </bottom>
      <diagonal/>
    </border>
    <border>
      <left style="medium">
        <color auto="1"/>
      </left>
      <right style="hair">
        <color rgb="FF00B0F0"/>
      </right>
      <top style="hair">
        <color rgb="FF00B0F0"/>
      </top>
      <bottom style="hair">
        <color rgb="FF00B0F0"/>
      </bottom>
      <diagonal/>
    </border>
    <border>
      <left style="medium">
        <color theme="1"/>
      </left>
      <right style="medium">
        <color theme="1"/>
      </right>
      <top style="medium">
        <color theme="1"/>
      </top>
      <bottom style="medium">
        <color theme="1"/>
      </bottom>
      <diagonal/>
    </border>
    <border>
      <left/>
      <right style="thin">
        <color indexed="64"/>
      </right>
      <top style="medium">
        <color indexed="64"/>
      </top>
      <bottom/>
      <diagonal/>
    </border>
    <border>
      <left style="thin">
        <color indexed="64"/>
      </left>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right/>
      <top style="dotted">
        <color indexed="64"/>
      </top>
      <bottom/>
      <diagonal/>
    </border>
    <border>
      <left style="medium">
        <color indexed="64"/>
      </left>
      <right style="thin">
        <color indexed="64"/>
      </right>
      <top style="thin">
        <color indexed="64"/>
      </top>
      <bottom style="dotted">
        <color indexed="64"/>
      </bottom>
      <diagonal/>
    </border>
    <border>
      <left style="medium">
        <color indexed="64"/>
      </left>
      <right/>
      <top style="hair">
        <color rgb="FF33CCCC"/>
      </top>
      <bottom style="medium">
        <color indexed="64"/>
      </bottom>
      <diagonal/>
    </border>
    <border>
      <left style="hair">
        <color rgb="FF33CCCC"/>
      </left>
      <right style="hair">
        <color rgb="FF33CCCC"/>
      </right>
      <top style="hair">
        <color rgb="FF33CCCC"/>
      </top>
      <bottom style="medium">
        <color indexed="64"/>
      </bottom>
      <diagonal/>
    </border>
    <border>
      <left style="medium">
        <color indexed="64"/>
      </left>
      <right style="hair">
        <color rgb="FF33CCCC"/>
      </right>
      <top/>
      <bottom style="medium">
        <color indexed="64"/>
      </bottom>
      <diagonal/>
    </border>
    <border>
      <left/>
      <right/>
      <top style="hair">
        <color theme="8"/>
      </top>
      <bottom/>
      <diagonal/>
    </border>
    <border>
      <left style="hair">
        <color rgb="FF33CCCC"/>
      </left>
      <right style="hair">
        <color rgb="FF33CCCC"/>
      </right>
      <top/>
      <bottom style="medium">
        <color indexed="64"/>
      </bottom>
      <diagonal/>
    </border>
    <border>
      <left style="hair">
        <color theme="8"/>
      </left>
      <right style="hair">
        <color theme="8"/>
      </right>
      <top/>
      <bottom style="medium">
        <color indexed="64"/>
      </bottom>
      <diagonal/>
    </border>
    <border>
      <left/>
      <right style="hair">
        <color theme="8"/>
      </right>
      <top style="hair">
        <color theme="8"/>
      </top>
      <bottom style="hair">
        <color theme="8"/>
      </bottom>
      <diagonal/>
    </border>
    <border>
      <left/>
      <right style="hair">
        <color theme="8"/>
      </right>
      <top/>
      <bottom style="hair">
        <color theme="8"/>
      </bottom>
      <diagonal/>
    </border>
    <border>
      <left/>
      <right/>
      <top style="hair">
        <color rgb="FF33CCCC"/>
      </top>
      <bottom/>
      <diagonal/>
    </border>
    <border>
      <left style="medium">
        <color indexed="64"/>
      </left>
      <right style="hair">
        <color rgb="FF33CCCC"/>
      </right>
      <top style="hair">
        <color rgb="FF33CCCC"/>
      </top>
      <bottom style="medium">
        <color indexed="64"/>
      </bottom>
      <diagonal/>
    </border>
    <border>
      <left style="hair">
        <color auto="1"/>
      </left>
      <right style="hair">
        <color indexed="64"/>
      </right>
      <top style="hair">
        <color auto="1"/>
      </top>
      <bottom style="hair">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212">
    <xf numFmtId="0" fontId="0" fillId="0" borderId="0"/>
    <xf numFmtId="164" fontId="16" fillId="0" borderId="0" applyFont="0" applyFill="0" applyBorder="0" applyAlignment="0" applyProtection="0"/>
    <xf numFmtId="164" fontId="16" fillId="0" borderId="0" applyFont="0" applyFill="0" applyBorder="0" applyAlignment="0" applyProtection="0"/>
    <xf numFmtId="164" fontId="22" fillId="0" borderId="0" applyFont="0" applyFill="0" applyBorder="0" applyAlignment="0" applyProtection="0"/>
    <xf numFmtId="43" fontId="16" fillId="0" borderId="0" applyFont="0" applyFill="0" applyBorder="0" applyAlignment="0" applyProtection="0"/>
    <xf numFmtId="0" fontId="16" fillId="0" borderId="0"/>
    <xf numFmtId="0" fontId="16" fillId="0" borderId="0"/>
    <xf numFmtId="9" fontId="18" fillId="0" borderId="0" applyFont="0" applyFill="0" applyBorder="0" applyAlignment="0" applyProtection="0"/>
    <xf numFmtId="0" fontId="25" fillId="15" borderId="85" applyNumberFormat="0" applyAlignment="0" applyProtection="0"/>
    <xf numFmtId="0" fontId="15" fillId="0" borderId="0"/>
    <xf numFmtId="9" fontId="16" fillId="0" borderId="0" applyFont="0" applyFill="0" applyBorder="0" applyAlignment="0" applyProtection="0"/>
    <xf numFmtId="0" fontId="14" fillId="0" borderId="0"/>
    <xf numFmtId="0" fontId="80" fillId="0" borderId="0"/>
    <xf numFmtId="0" fontId="14" fillId="0" borderId="0"/>
    <xf numFmtId="0" fontId="13" fillId="0" borderId="0"/>
    <xf numFmtId="0" fontId="13" fillId="0" borderId="0"/>
    <xf numFmtId="0" fontId="13" fillId="0" borderId="0"/>
    <xf numFmtId="43" fontId="80" fillId="0" borderId="0" applyFont="0" applyFill="0" applyBorder="0" applyAlignment="0" applyProtection="0"/>
    <xf numFmtId="0" fontId="12" fillId="0" borderId="0"/>
    <xf numFmtId="0" fontId="11" fillId="0" borderId="0"/>
    <xf numFmtId="164" fontId="16" fillId="0" borderId="0" applyFont="0" applyFill="0" applyBorder="0" applyAlignment="0" applyProtection="0"/>
    <xf numFmtId="44" fontId="16"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16"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4" fontId="16" fillId="0" borderId="0" applyFont="0" applyFill="0" applyBorder="0" applyAlignment="0" applyProtection="0"/>
    <xf numFmtId="0" fontId="3" fillId="0" borderId="0"/>
    <xf numFmtId="44" fontId="106" fillId="0" borderId="0" applyFont="0" applyFill="0" applyBorder="0" applyAlignment="0" applyProtection="0"/>
    <xf numFmtId="0" fontId="82" fillId="0" borderId="0"/>
    <xf numFmtId="43" fontId="82" fillId="0" borderId="0" applyFont="0" applyFill="0" applyBorder="0" applyAlignment="0" applyProtection="0"/>
    <xf numFmtId="0" fontId="121" fillId="0" borderId="0"/>
    <xf numFmtId="0" fontId="16" fillId="0" borderId="0"/>
    <xf numFmtId="0" fontId="80" fillId="0" borderId="0"/>
    <xf numFmtId="9" fontId="82" fillId="0" borderId="0" applyFont="0" applyFill="0" applyBorder="0" applyAlignment="0" applyProtection="0"/>
    <xf numFmtId="0" fontId="80" fillId="0" borderId="0"/>
    <xf numFmtId="0" fontId="16" fillId="0" borderId="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54"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1"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20" fillId="36" borderId="0" applyNumberFormat="0" applyBorder="0" applyAlignment="0" applyProtection="0"/>
    <xf numFmtId="0" fontId="120" fillId="40" borderId="0" applyNumberFormat="0" applyBorder="0" applyAlignment="0" applyProtection="0"/>
    <xf numFmtId="0" fontId="120" fillId="44" borderId="0" applyNumberFormat="0" applyBorder="0" applyAlignment="0" applyProtection="0"/>
    <xf numFmtId="0" fontId="120" fillId="48" borderId="0" applyNumberFormat="0" applyBorder="0" applyAlignment="0" applyProtection="0"/>
    <xf numFmtId="0" fontId="120" fillId="52" borderId="0" applyNumberFormat="0" applyBorder="0" applyAlignment="0" applyProtection="0"/>
    <xf numFmtId="0" fontId="120" fillId="56" borderId="0" applyNumberFormat="0" applyBorder="0" applyAlignment="0" applyProtection="0"/>
    <xf numFmtId="0" fontId="120" fillId="33" borderId="0" applyNumberFormat="0" applyBorder="0" applyAlignment="0" applyProtection="0"/>
    <xf numFmtId="0" fontId="120" fillId="37" borderId="0" applyNumberFormat="0" applyBorder="0" applyAlignment="0" applyProtection="0"/>
    <xf numFmtId="0" fontId="120" fillId="41" borderId="0" applyNumberFormat="0" applyBorder="0" applyAlignment="0" applyProtection="0"/>
    <xf numFmtId="0" fontId="120" fillId="45" borderId="0" applyNumberFormat="0" applyBorder="0" applyAlignment="0" applyProtection="0"/>
    <xf numFmtId="0" fontId="120" fillId="49" borderId="0" applyNumberFormat="0" applyBorder="0" applyAlignment="0" applyProtection="0"/>
    <xf numFmtId="0" fontId="120" fillId="53" borderId="0" applyNumberFormat="0" applyBorder="0" applyAlignment="0" applyProtection="0"/>
    <xf numFmtId="0" fontId="112" fillId="28" borderId="0" applyNumberFormat="0" applyBorder="0" applyAlignment="0" applyProtection="0"/>
    <xf numFmtId="0" fontId="115" fillId="15" borderId="150" applyNumberFormat="0" applyAlignment="0" applyProtection="0"/>
    <xf numFmtId="0" fontId="117" fillId="31" borderId="152" applyNumberFormat="0" applyAlignment="0" applyProtection="0"/>
    <xf numFmtId="43" fontId="16" fillId="0" borderId="0" applyFont="0" applyFill="0" applyBorder="0" applyAlignment="0" applyProtection="0"/>
    <xf numFmtId="43" fontId="16" fillId="0" borderId="0" applyFont="0" applyFill="0" applyBorder="0" applyAlignment="0" applyProtection="0"/>
    <xf numFmtId="0" fontId="118" fillId="0" borderId="0" applyNumberFormat="0" applyFill="0" applyBorder="0" applyAlignment="0" applyProtection="0"/>
    <xf numFmtId="0" fontId="111" fillId="27" borderId="0" applyNumberFormat="0" applyBorder="0" applyAlignment="0" applyProtection="0"/>
    <xf numFmtId="0" fontId="108" fillId="0" borderId="147" applyNumberFormat="0" applyFill="0" applyAlignment="0" applyProtection="0"/>
    <xf numFmtId="0" fontId="109" fillId="0" borderId="148" applyNumberFormat="0" applyFill="0" applyAlignment="0" applyProtection="0"/>
    <xf numFmtId="0" fontId="110" fillId="0" borderId="149" applyNumberFormat="0" applyFill="0" applyAlignment="0" applyProtection="0"/>
    <xf numFmtId="0" fontId="110" fillId="0" borderId="0" applyNumberFormat="0" applyFill="0" applyBorder="0" applyAlignment="0" applyProtection="0"/>
    <xf numFmtId="0" fontId="114" fillId="30" borderId="150" applyNumberFormat="0" applyAlignment="0" applyProtection="0"/>
    <xf numFmtId="0" fontId="116" fillId="0" borderId="151" applyNumberFormat="0" applyFill="0" applyAlignment="0" applyProtection="0"/>
    <xf numFmtId="0" fontId="113" fillId="29" borderId="0" applyNumberFormat="0" applyBorder="0" applyAlignment="0" applyProtection="0"/>
    <xf numFmtId="0" fontId="16" fillId="0" borderId="0"/>
    <xf numFmtId="0" fontId="1" fillId="32" borderId="153" applyNumberFormat="0" applyFont="0" applyAlignment="0" applyProtection="0"/>
    <xf numFmtId="0" fontId="1" fillId="32" borderId="153" applyNumberFormat="0" applyFont="0" applyAlignment="0" applyProtection="0"/>
    <xf numFmtId="0" fontId="1" fillId="32" borderId="153" applyNumberFormat="0" applyFont="0" applyAlignment="0" applyProtection="0"/>
    <xf numFmtId="0" fontId="1" fillId="32" borderId="153" applyNumberFormat="0" applyFont="0" applyAlignment="0" applyProtection="0"/>
    <xf numFmtId="0" fontId="25" fillId="15" borderId="85" applyNumberFormat="0" applyAlignment="0" applyProtection="0"/>
    <xf numFmtId="9" fontId="16" fillId="0" borderId="0" applyFont="0" applyFill="0" applyBorder="0" applyAlignment="0" applyProtection="0"/>
    <xf numFmtId="0" fontId="107" fillId="0" borderId="0" applyNumberFormat="0" applyFill="0" applyBorder="0" applyAlignment="0" applyProtection="0"/>
    <xf numFmtId="0" fontId="119" fillId="0" borderId="154" applyNumberFormat="0" applyFill="0" applyAlignment="0" applyProtection="0"/>
    <xf numFmtId="0" fontId="73" fillId="0" borderId="0" applyNumberFormat="0" applyFill="0" applyBorder="0" applyAlignment="0" applyProtection="0"/>
    <xf numFmtId="0" fontId="16" fillId="0" borderId="0"/>
    <xf numFmtId="0" fontId="80" fillId="0" borderId="0"/>
    <xf numFmtId="0" fontId="80" fillId="0" borderId="0"/>
    <xf numFmtId="0" fontId="80" fillId="0" borderId="0"/>
    <xf numFmtId="0" fontId="82" fillId="0" borderId="0"/>
    <xf numFmtId="0" fontId="80" fillId="0" borderId="0"/>
    <xf numFmtId="0" fontId="1" fillId="0" borderId="0"/>
    <xf numFmtId="0" fontId="1" fillId="0" borderId="0"/>
    <xf numFmtId="0" fontId="1" fillId="0" borderId="0"/>
    <xf numFmtId="0" fontId="1" fillId="0" borderId="0"/>
    <xf numFmtId="0" fontId="1" fillId="0" borderId="0"/>
    <xf numFmtId="0" fontId="16" fillId="0" borderId="0"/>
  </cellStyleXfs>
  <cellXfs count="1800">
    <xf numFmtId="0" fontId="0" fillId="0" borderId="0" xfId="0"/>
    <xf numFmtId="0" fontId="0" fillId="0" borderId="0" xfId="0" applyProtection="1"/>
    <xf numFmtId="0" fontId="27" fillId="2" borderId="0" xfId="0" applyFont="1" applyFill="1" applyProtection="1"/>
    <xf numFmtId="0" fontId="27" fillId="6" borderId="0" xfId="0" applyFont="1" applyFill="1" applyBorder="1" applyProtection="1"/>
    <xf numFmtId="0" fontId="30" fillId="2" borderId="0" xfId="0" applyFont="1" applyFill="1" applyAlignment="1" applyProtection="1">
      <alignment wrapText="1"/>
    </xf>
    <xf numFmtId="0" fontId="30" fillId="2" borderId="0" xfId="0" quotePrefix="1" applyNumberFormat="1" applyFont="1" applyFill="1" applyAlignment="1" applyProtection="1">
      <alignment wrapText="1"/>
    </xf>
    <xf numFmtId="0" fontId="30" fillId="2" borderId="0" xfId="0" applyFont="1" applyFill="1" applyAlignment="1" applyProtection="1">
      <alignment vertical="top" wrapText="1"/>
    </xf>
    <xf numFmtId="0" fontId="27" fillId="0" borderId="0" xfId="0" applyFont="1" applyAlignment="1" applyProtection="1">
      <alignment vertical="center"/>
    </xf>
    <xf numFmtId="0" fontId="27" fillId="2" borderId="0" xfId="0" applyFont="1" applyFill="1" applyAlignment="1" applyProtection="1">
      <alignment vertical="center"/>
    </xf>
    <xf numFmtId="0" fontId="27" fillId="0" borderId="0" xfId="0" applyFont="1"/>
    <xf numFmtId="0" fontId="24" fillId="0" borderId="0" xfId="0" applyFont="1" applyAlignment="1" applyProtection="1">
      <alignment vertical="center"/>
    </xf>
    <xf numFmtId="0" fontId="29" fillId="0" borderId="0" xfId="0" applyFont="1" applyBorder="1" applyAlignment="1" applyProtection="1"/>
    <xf numFmtId="0" fontId="33" fillId="8" borderId="17" xfId="0" applyFont="1" applyFill="1" applyBorder="1" applyAlignment="1" applyProtection="1">
      <alignment vertical="center"/>
    </xf>
    <xf numFmtId="0" fontId="27" fillId="0" borderId="0" xfId="0" applyFont="1" applyFill="1" applyBorder="1" applyAlignment="1" applyProtection="1">
      <alignment horizontal="center" vertical="center" wrapText="1"/>
    </xf>
    <xf numFmtId="0" fontId="27" fillId="2" borderId="0" xfId="0" applyFont="1" applyFill="1" applyBorder="1" applyAlignment="1" applyProtection="1">
      <alignment vertical="center"/>
    </xf>
    <xf numFmtId="0" fontId="24" fillId="2" borderId="0" xfId="0" applyFont="1" applyFill="1" applyAlignment="1" applyProtection="1">
      <alignment vertical="center"/>
    </xf>
    <xf numFmtId="0" fontId="34" fillId="0" borderId="0" xfId="0" applyFont="1" applyFill="1" applyBorder="1" applyAlignment="1" applyProtection="1">
      <alignment horizontal="left" vertical="center"/>
    </xf>
    <xf numFmtId="0" fontId="24" fillId="0" borderId="0" xfId="0" applyFont="1" applyFill="1" applyBorder="1" applyAlignment="1" applyProtection="1">
      <alignment horizontal="left" vertical="center"/>
    </xf>
    <xf numFmtId="0" fontId="38" fillId="0" borderId="0" xfId="0" applyFont="1" applyFill="1" applyBorder="1" applyAlignment="1" applyProtection="1">
      <alignment horizontal="left" vertical="center"/>
    </xf>
    <xf numFmtId="0" fontId="27" fillId="0" borderId="0" xfId="0" applyFont="1" applyProtection="1"/>
    <xf numFmtId="0" fontId="27" fillId="2" borderId="0" xfId="0" applyFont="1" applyFill="1" applyBorder="1" applyProtection="1"/>
    <xf numFmtId="0" fontId="24" fillId="2" borderId="0" xfId="0" applyFont="1" applyFill="1" applyBorder="1" applyAlignment="1" applyProtection="1">
      <alignment vertical="center"/>
    </xf>
    <xf numFmtId="0" fontId="28" fillId="2" borderId="0" xfId="0" applyFont="1" applyFill="1" applyBorder="1" applyProtection="1"/>
    <xf numFmtId="165" fontId="28" fillId="2" borderId="0" xfId="1" applyNumberFormat="1" applyFont="1" applyFill="1" applyBorder="1" applyProtection="1"/>
    <xf numFmtId="0" fontId="33" fillId="6" borderId="0" xfId="0" applyFont="1" applyFill="1" applyBorder="1" applyAlignment="1" applyProtection="1">
      <alignment horizontal="left" vertical="center"/>
    </xf>
    <xf numFmtId="0" fontId="28" fillId="2" borderId="10" xfId="0" applyFont="1" applyFill="1" applyBorder="1" applyProtection="1"/>
    <xf numFmtId="0" fontId="41" fillId="2" borderId="0" xfId="0" applyFont="1" applyFill="1" applyBorder="1" applyAlignment="1" applyProtection="1">
      <alignment horizontal="left"/>
    </xf>
    <xf numFmtId="0" fontId="27" fillId="0" borderId="0" xfId="0" applyFont="1" applyFill="1" applyProtection="1"/>
    <xf numFmtId="0" fontId="23" fillId="0" borderId="30" xfId="0" applyFont="1" applyFill="1" applyBorder="1" applyAlignment="1" applyProtection="1">
      <alignment horizontal="left" vertical="center" wrapText="1"/>
    </xf>
    <xf numFmtId="0" fontId="23" fillId="0" borderId="30" xfId="0" applyFont="1" applyFill="1" applyBorder="1" applyAlignment="1" applyProtection="1">
      <alignment horizontal="center" vertical="center"/>
    </xf>
    <xf numFmtId="0" fontId="27" fillId="0" borderId="0" xfId="0" applyFont="1" applyAlignment="1" applyProtection="1"/>
    <xf numFmtId="0" fontId="27" fillId="2" borderId="0" xfId="0" applyFont="1" applyFill="1" applyAlignment="1" applyProtection="1"/>
    <xf numFmtId="165" fontId="27" fillId="2" borderId="0" xfId="1" applyNumberFormat="1" applyFont="1" applyFill="1" applyBorder="1" applyProtection="1"/>
    <xf numFmtId="165" fontId="24" fillId="2" borderId="0" xfId="1" applyNumberFormat="1" applyFont="1" applyFill="1" applyBorder="1" applyProtection="1"/>
    <xf numFmtId="0" fontId="24" fillId="2" borderId="0" xfId="0" applyFont="1" applyFill="1" applyBorder="1" applyProtection="1"/>
    <xf numFmtId="0" fontId="24" fillId="2" borderId="0" xfId="0" applyFont="1" applyFill="1" applyProtection="1"/>
    <xf numFmtId="166" fontId="24" fillId="6" borderId="0" xfId="0" applyNumberFormat="1" applyFont="1" applyFill="1" applyBorder="1" applyAlignment="1" applyProtection="1">
      <alignment horizontal="right" vertical="center"/>
    </xf>
    <xf numFmtId="166" fontId="23" fillId="6" borderId="0" xfId="0" applyNumberFormat="1" applyFont="1" applyFill="1" applyBorder="1" applyAlignment="1" applyProtection="1">
      <alignment horizontal="right" vertical="center"/>
    </xf>
    <xf numFmtId="0" fontId="24" fillId="6" borderId="0" xfId="0" applyFont="1" applyFill="1" applyBorder="1" applyAlignment="1" applyProtection="1">
      <alignment horizontal="left" vertical="center"/>
    </xf>
    <xf numFmtId="0" fontId="27" fillId="6" borderId="0" xfId="0" applyFont="1" applyFill="1" applyBorder="1" applyAlignment="1" applyProtection="1">
      <alignment horizontal="right" vertical="center"/>
    </xf>
    <xf numFmtId="0" fontId="27" fillId="0" borderId="30" xfId="0" applyFont="1" applyFill="1" applyBorder="1" applyAlignment="1" applyProtection="1">
      <alignment vertical="center" wrapText="1"/>
    </xf>
    <xf numFmtId="0" fontId="27" fillId="0" borderId="30" xfId="0" applyFont="1" applyFill="1" applyBorder="1" applyAlignment="1" applyProtection="1">
      <alignment vertical="center"/>
    </xf>
    <xf numFmtId="165" fontId="24" fillId="0" borderId="30" xfId="1" applyNumberFormat="1" applyFont="1" applyFill="1" applyBorder="1" applyAlignment="1" applyProtection="1">
      <alignment vertical="center"/>
    </xf>
    <xf numFmtId="0" fontId="24" fillId="0" borderId="30" xfId="0" applyFont="1" applyFill="1" applyBorder="1" applyAlignment="1" applyProtection="1">
      <alignment vertical="center"/>
    </xf>
    <xf numFmtId="165" fontId="24" fillId="6" borderId="0" xfId="1" applyNumberFormat="1" applyFont="1" applyFill="1" applyBorder="1" applyProtection="1"/>
    <xf numFmtId="0" fontId="42" fillId="2" borderId="0" xfId="0" applyFont="1" applyFill="1" applyBorder="1" applyProtection="1"/>
    <xf numFmtId="0" fontId="27" fillId="0" borderId="0" xfId="0" applyFont="1" applyBorder="1" applyProtection="1"/>
    <xf numFmtId="0" fontId="26" fillId="0" borderId="0" xfId="0" applyFont="1" applyFill="1" applyBorder="1" applyAlignment="1" applyProtection="1">
      <alignment horizontal="left" vertical="center"/>
    </xf>
    <xf numFmtId="0" fontId="26" fillId="2" borderId="0" xfId="0" applyFont="1" applyFill="1" applyBorder="1" applyAlignment="1" applyProtection="1">
      <alignment horizontal="left" vertical="center"/>
    </xf>
    <xf numFmtId="0" fontId="24" fillId="0" borderId="0" xfId="0" applyFont="1" applyFill="1" applyBorder="1" applyAlignment="1" applyProtection="1">
      <alignment horizontal="left" vertical="center" wrapText="1"/>
    </xf>
    <xf numFmtId="0" fontId="24" fillId="2" borderId="0" xfId="0" applyFont="1" applyFill="1" applyBorder="1" applyAlignment="1" applyProtection="1">
      <alignment horizontal="left" vertical="center" wrapText="1"/>
    </xf>
    <xf numFmtId="0" fontId="24" fillId="0" borderId="0" xfId="0" applyFont="1" applyFill="1" applyBorder="1" applyAlignment="1" applyProtection="1">
      <alignment horizontal="left" vertical="center" wrapText="1" indent="1"/>
    </xf>
    <xf numFmtId="0" fontId="27" fillId="0" borderId="0" xfId="0" applyFont="1" applyFill="1" applyBorder="1" applyAlignment="1" applyProtection="1">
      <alignment horizontal="left" vertical="center" wrapText="1" indent="1"/>
    </xf>
    <xf numFmtId="0" fontId="27" fillId="2" borderId="0" xfId="0" applyFont="1" applyFill="1" applyAlignment="1" applyProtection="1">
      <alignment horizontal="center"/>
    </xf>
    <xf numFmtId="0" fontId="33" fillId="0" borderId="0" xfId="0" applyFont="1" applyFill="1" applyBorder="1" applyAlignment="1" applyProtection="1">
      <alignment horizontal="left"/>
    </xf>
    <xf numFmtId="0" fontId="24" fillId="2" borderId="0" xfId="0" applyFont="1" applyFill="1" applyBorder="1" applyAlignment="1" applyProtection="1">
      <alignment horizontal="left" vertical="center" wrapText="1" indent="1"/>
    </xf>
    <xf numFmtId="0" fontId="33" fillId="0" borderId="30" xfId="0" applyFont="1" applyFill="1" applyBorder="1" applyAlignment="1" applyProtection="1">
      <alignment horizontal="left"/>
    </xf>
    <xf numFmtId="0" fontId="33" fillId="0" borderId="23" xfId="0" applyFont="1" applyFill="1" applyBorder="1" applyAlignment="1" applyProtection="1">
      <alignment horizontal="left"/>
    </xf>
    <xf numFmtId="0" fontId="33" fillId="0" borderId="31" xfId="0" applyFont="1" applyFill="1" applyBorder="1" applyAlignment="1" applyProtection="1">
      <alignment horizontal="left"/>
    </xf>
    <xf numFmtId="0" fontId="37" fillId="6" borderId="0" xfId="0" applyFont="1" applyFill="1" applyBorder="1" applyAlignment="1" applyProtection="1">
      <alignment horizontal="left"/>
    </xf>
    <xf numFmtId="0" fontId="51" fillId="6" borderId="0" xfId="0" applyFont="1" applyFill="1" applyBorder="1" applyAlignment="1" applyProtection="1">
      <alignment horizontal="left"/>
    </xf>
    <xf numFmtId="0" fontId="24" fillId="6" borderId="0" xfId="0" applyFont="1" applyFill="1" applyBorder="1" applyAlignment="1" applyProtection="1">
      <alignment horizontal="left"/>
    </xf>
    <xf numFmtId="0" fontId="52" fillId="2" borderId="1" xfId="0" applyFont="1" applyFill="1" applyBorder="1" applyAlignment="1" applyProtection="1">
      <alignment horizontal="center" wrapText="1"/>
      <protection locked="0"/>
    </xf>
    <xf numFmtId="0" fontId="27" fillId="6" borderId="0" xfId="0" applyFont="1" applyFill="1" applyBorder="1" applyAlignment="1" applyProtection="1">
      <alignment horizontal="left"/>
    </xf>
    <xf numFmtId="0" fontId="27" fillId="6" borderId="0" xfId="0" applyFont="1" applyFill="1" applyBorder="1" applyAlignment="1" applyProtection="1">
      <alignment horizontal="left" wrapText="1"/>
    </xf>
    <xf numFmtId="0" fontId="27" fillId="0" borderId="0" xfId="0" applyFont="1" applyBorder="1" applyAlignment="1" applyProtection="1"/>
    <xf numFmtId="0" fontId="24" fillId="2" borderId="30" xfId="0" applyFont="1" applyFill="1" applyBorder="1" applyAlignment="1" applyProtection="1">
      <alignment horizontal="left" vertical="center" wrapText="1" indent="1"/>
    </xf>
    <xf numFmtId="0" fontId="24" fillId="2" borderId="56" xfId="0" applyFont="1" applyFill="1" applyBorder="1" applyAlignment="1" applyProtection="1">
      <alignment horizontal="left" vertical="center" wrapText="1" indent="1"/>
    </xf>
    <xf numFmtId="0" fontId="27" fillId="2" borderId="30" xfId="0" applyFont="1" applyFill="1" applyBorder="1" applyProtection="1"/>
    <xf numFmtId="0" fontId="27" fillId="2" borderId="56" xfId="0" applyFont="1" applyFill="1" applyBorder="1" applyProtection="1"/>
    <xf numFmtId="0" fontId="53" fillId="2" borderId="0" xfId="0" applyFont="1" applyFill="1" applyProtection="1"/>
    <xf numFmtId="0" fontId="27" fillId="2" borderId="0" xfId="0" applyFont="1" applyFill="1" applyBorder="1" applyAlignment="1" applyProtection="1"/>
    <xf numFmtId="0" fontId="28" fillId="2" borderId="24" xfId="0" applyFont="1" applyFill="1" applyBorder="1" applyProtection="1"/>
    <xf numFmtId="0" fontId="28" fillId="2" borderId="23" xfId="0" applyFont="1" applyFill="1" applyBorder="1" applyProtection="1"/>
    <xf numFmtId="0" fontId="27" fillId="2" borderId="23" xfId="0" applyFont="1" applyFill="1" applyBorder="1" applyProtection="1"/>
    <xf numFmtId="0" fontId="27" fillId="2" borderId="31" xfId="0" applyFont="1" applyFill="1" applyBorder="1" applyAlignment="1" applyProtection="1">
      <alignment horizontal="center"/>
    </xf>
    <xf numFmtId="0" fontId="33" fillId="8" borderId="24" xfId="0" applyFont="1" applyFill="1" applyBorder="1" applyAlignment="1" applyProtection="1">
      <alignment vertical="center"/>
    </xf>
    <xf numFmtId="0" fontId="28" fillId="8" borderId="22" xfId="0" applyFont="1" applyFill="1" applyBorder="1" applyProtection="1"/>
    <xf numFmtId="165" fontId="28" fillId="8" borderId="0" xfId="1" applyNumberFormat="1" applyFont="1" applyFill="1" applyBorder="1" applyProtection="1"/>
    <xf numFmtId="0" fontId="27" fillId="8" borderId="0" xfId="0" applyFont="1" applyFill="1" applyBorder="1" applyAlignment="1" applyProtection="1">
      <alignment horizontal="center"/>
    </xf>
    <xf numFmtId="0" fontId="41" fillId="0" borderId="24" xfId="0" applyFont="1" applyFill="1" applyBorder="1" applyAlignment="1" applyProtection="1">
      <alignment horizontal="left"/>
    </xf>
    <xf numFmtId="0" fontId="41" fillId="0" borderId="29" xfId="0" applyFont="1" applyFill="1" applyBorder="1" applyAlignment="1" applyProtection="1">
      <alignment horizontal="left"/>
    </xf>
    <xf numFmtId="0" fontId="41" fillId="0" borderId="28" xfId="0" applyFont="1" applyFill="1" applyBorder="1" applyAlignment="1" applyProtection="1">
      <alignment horizontal="center"/>
    </xf>
    <xf numFmtId="165" fontId="27" fillId="2" borderId="31" xfId="1" applyNumberFormat="1" applyFont="1" applyFill="1" applyBorder="1" applyAlignment="1" applyProtection="1">
      <alignment horizontal="center"/>
    </xf>
    <xf numFmtId="0" fontId="27" fillId="2" borderId="0" xfId="0" applyFont="1" applyFill="1" applyBorder="1" applyAlignment="1" applyProtection="1">
      <alignment horizontal="center"/>
    </xf>
    <xf numFmtId="0" fontId="58" fillId="2" borderId="24" xfId="0" applyFont="1" applyFill="1" applyBorder="1" applyAlignment="1" applyProtection="1">
      <alignment vertical="center"/>
    </xf>
    <xf numFmtId="0" fontId="27" fillId="2" borderId="0" xfId="0" applyFont="1" applyFill="1" applyAlignment="1" applyProtection="1">
      <alignment vertical="center"/>
      <protection locked="0"/>
    </xf>
    <xf numFmtId="0" fontId="27" fillId="2" borderId="0" xfId="0" applyFont="1" applyFill="1" applyProtection="1">
      <protection locked="0"/>
    </xf>
    <xf numFmtId="0" fontId="59" fillId="2" borderId="0" xfId="0" applyFont="1" applyFill="1" applyBorder="1" applyAlignment="1" applyProtection="1"/>
    <xf numFmtId="0" fontId="27" fillId="2" borderId="0" xfId="0" applyFont="1" applyFill="1" applyBorder="1" applyAlignment="1" applyProtection="1">
      <alignment wrapText="1"/>
    </xf>
    <xf numFmtId="0" fontId="27" fillId="8" borderId="0" xfId="0" applyFont="1" applyFill="1" applyAlignment="1" applyProtection="1">
      <alignment vertical="center"/>
    </xf>
    <xf numFmtId="0" fontId="43" fillId="6" borderId="0" xfId="0" applyFont="1" applyFill="1" applyBorder="1" applyAlignment="1" applyProtection="1">
      <alignment horizontal="left" vertical="center"/>
    </xf>
    <xf numFmtId="0" fontId="27" fillId="6" borderId="0" xfId="0" applyFont="1" applyFill="1" applyAlignment="1"/>
    <xf numFmtId="0" fontId="43" fillId="16" borderId="35" xfId="0" applyFont="1" applyFill="1" applyBorder="1" applyAlignment="1" applyProtection="1">
      <alignment vertical="center"/>
    </xf>
    <xf numFmtId="0" fontId="27" fillId="0" borderId="0" xfId="0" applyFont="1" applyProtection="1">
      <protection locked="0"/>
    </xf>
    <xf numFmtId="0" fontId="28" fillId="8" borderId="0" xfId="0" applyFont="1" applyFill="1" applyBorder="1" applyAlignment="1" applyProtection="1">
      <alignment vertical="center"/>
      <protection locked="0"/>
    </xf>
    <xf numFmtId="0" fontId="27" fillId="0" borderId="0" xfId="0" applyFont="1" applyBorder="1" applyAlignment="1" applyProtection="1">
      <alignment horizontal="center" vertical="center"/>
      <protection locked="0"/>
    </xf>
    <xf numFmtId="0" fontId="27" fillId="6" borderId="0" xfId="0" applyFont="1" applyFill="1" applyProtection="1">
      <protection locked="0"/>
    </xf>
    <xf numFmtId="0" fontId="27" fillId="0" borderId="0" xfId="0" applyFont="1" applyBorder="1" applyProtection="1">
      <protection locked="0"/>
    </xf>
    <xf numFmtId="0" fontId="27" fillId="0" borderId="0" xfId="0" applyFont="1" applyBorder="1" applyAlignment="1" applyProtection="1">
      <alignment wrapText="1"/>
      <protection locked="0"/>
    </xf>
    <xf numFmtId="0" fontId="27" fillId="0" borderId="0" xfId="0" applyFont="1" applyAlignment="1" applyProtection="1">
      <alignment wrapText="1"/>
      <protection locked="0"/>
    </xf>
    <xf numFmtId="0" fontId="27" fillId="2" borderId="0" xfId="0" applyFont="1" applyFill="1" applyProtection="1"/>
    <xf numFmtId="0" fontId="28" fillId="2" borderId="0" xfId="0" applyFont="1" applyFill="1" applyBorder="1" applyAlignment="1" applyProtection="1">
      <alignment horizontal="left" vertical="top" wrapText="1"/>
    </xf>
    <xf numFmtId="0" fontId="23" fillId="6" borderId="0" xfId="0" applyFont="1" applyFill="1" applyBorder="1" applyAlignment="1" applyProtection="1">
      <alignment horizontal="left" wrapText="1"/>
    </xf>
    <xf numFmtId="0" fontId="24" fillId="2" borderId="0" xfId="0" applyFont="1" applyFill="1" applyBorder="1" applyAlignment="1" applyProtection="1">
      <alignment horizontal="center" vertical="center" wrapText="1"/>
    </xf>
    <xf numFmtId="0" fontId="52" fillId="2" borderId="0" xfId="0" applyFont="1" applyFill="1" applyBorder="1" applyAlignment="1" applyProtection="1">
      <alignment horizontal="center" wrapText="1"/>
    </xf>
    <xf numFmtId="0" fontId="43" fillId="0" borderId="17" xfId="0" applyFont="1" applyBorder="1" applyAlignment="1" applyProtection="1">
      <alignment vertical="center"/>
    </xf>
    <xf numFmtId="0" fontId="29" fillId="2" borderId="0" xfId="0" applyFont="1" applyFill="1" applyAlignment="1" applyProtection="1">
      <alignment vertical="center" wrapText="1"/>
    </xf>
    <xf numFmtId="0" fontId="64" fillId="2" borderId="0" xfId="0" applyFont="1" applyFill="1" applyBorder="1" applyProtection="1"/>
    <xf numFmtId="0" fontId="29" fillId="3" borderId="0" xfId="6" applyFont="1" applyFill="1" applyBorder="1" applyAlignment="1" applyProtection="1">
      <alignment horizontal="left" vertical="center"/>
    </xf>
    <xf numFmtId="0" fontId="27" fillId="3" borderId="0" xfId="6" applyFont="1" applyFill="1" applyBorder="1" applyAlignment="1" applyProtection="1">
      <alignment vertical="center"/>
    </xf>
    <xf numFmtId="0" fontId="36" fillId="3" borderId="0" xfId="6" applyFont="1" applyFill="1" applyBorder="1" applyAlignment="1" applyProtection="1">
      <alignment horizontal="left" vertical="center"/>
    </xf>
    <xf numFmtId="0" fontId="28" fillId="3" borderId="0" xfId="6" applyFont="1" applyFill="1" applyBorder="1" applyAlignment="1" applyProtection="1">
      <alignment vertical="center"/>
    </xf>
    <xf numFmtId="0" fontId="43" fillId="3" borderId="0" xfId="6" applyFont="1" applyFill="1" applyBorder="1" applyAlignment="1" applyProtection="1">
      <alignment horizontal="left" vertical="center"/>
    </xf>
    <xf numFmtId="0" fontId="23" fillId="6" borderId="0" xfId="0" applyFont="1" applyFill="1" applyBorder="1" applyAlignment="1" applyProtection="1">
      <alignment horizontal="left" wrapText="1"/>
    </xf>
    <xf numFmtId="0" fontId="27" fillId="0" borderId="11" xfId="0" applyFont="1" applyBorder="1" applyProtection="1">
      <protection locked="0"/>
    </xf>
    <xf numFmtId="0" fontId="27" fillId="0" borderId="17" xfId="0" applyFont="1" applyBorder="1" applyProtection="1">
      <protection locked="0"/>
    </xf>
    <xf numFmtId="0" fontId="28" fillId="0" borderId="0" xfId="0" applyFont="1" applyProtection="1"/>
    <xf numFmtId="0" fontId="67" fillId="0" borderId="0" xfId="0" applyFont="1" applyProtection="1"/>
    <xf numFmtId="0" fontId="33" fillId="8" borderId="0" xfId="0" applyFont="1" applyFill="1" applyBorder="1" applyAlignment="1" applyProtection="1">
      <alignment vertical="center"/>
    </xf>
    <xf numFmtId="0" fontId="63" fillId="6" borderId="0" xfId="0" applyFont="1" applyFill="1" applyBorder="1" applyAlignment="1" applyProtection="1">
      <alignment horizontal="left" vertical="center" wrapText="1"/>
    </xf>
    <xf numFmtId="0" fontId="23" fillId="6" borderId="0" xfId="0" applyFont="1" applyFill="1" applyBorder="1" applyAlignment="1" applyProtection="1">
      <alignment horizontal="left" vertical="center"/>
    </xf>
    <xf numFmtId="0" fontId="27" fillId="6" borderId="0" xfId="0" applyFont="1" applyFill="1" applyProtection="1"/>
    <xf numFmtId="0" fontId="27" fillId="2" borderId="10" xfId="0" applyFont="1" applyFill="1" applyBorder="1" applyProtection="1"/>
    <xf numFmtId="165" fontId="28" fillId="2" borderId="10" xfId="1" applyNumberFormat="1" applyFont="1" applyFill="1" applyBorder="1" applyProtection="1"/>
    <xf numFmtId="0" fontId="28" fillId="2" borderId="10" xfId="0" applyFont="1" applyFill="1" applyBorder="1" applyAlignment="1" applyProtection="1">
      <alignment vertical="center"/>
    </xf>
    <xf numFmtId="0" fontId="42" fillId="2" borderId="10" xfId="0" applyFont="1" applyFill="1" applyBorder="1" applyAlignment="1" applyProtection="1">
      <alignment vertical="center"/>
    </xf>
    <xf numFmtId="0" fontId="27" fillId="2" borderId="96" xfId="0" applyFont="1" applyFill="1" applyBorder="1" applyProtection="1"/>
    <xf numFmtId="0" fontId="27" fillId="6" borderId="33" xfId="0" applyFont="1" applyFill="1" applyBorder="1" applyProtection="1"/>
    <xf numFmtId="0" fontId="66" fillId="0" borderId="0" xfId="0" applyFont="1" applyAlignment="1" applyProtection="1">
      <alignment vertical="center"/>
    </xf>
    <xf numFmtId="0" fontId="67" fillId="2" borderId="0" xfId="0" applyFont="1" applyFill="1" applyProtection="1"/>
    <xf numFmtId="0" fontId="27" fillId="2" borderId="17" xfId="0" applyFont="1" applyFill="1" applyBorder="1" applyProtection="1"/>
    <xf numFmtId="0" fontId="70" fillId="6" borderId="0" xfId="0" applyFont="1" applyFill="1" applyBorder="1" applyAlignment="1" applyProtection="1">
      <alignment horizontal="left" vertical="center"/>
    </xf>
    <xf numFmtId="0" fontId="27" fillId="9" borderId="0" xfId="0" applyFont="1" applyFill="1" applyProtection="1">
      <protection locked="0"/>
    </xf>
    <xf numFmtId="0" fontId="67" fillId="0" borderId="0" xfId="0" applyFont="1" applyProtection="1">
      <protection locked="0"/>
    </xf>
    <xf numFmtId="0" fontId="33" fillId="0" borderId="0" xfId="0" applyFont="1" applyFill="1" applyBorder="1" applyAlignment="1" applyProtection="1">
      <alignment horizontal="left" vertical="center"/>
    </xf>
    <xf numFmtId="0" fontId="33" fillId="0" borderId="10" xfId="0" applyFont="1" applyFill="1" applyBorder="1" applyAlignment="1" applyProtection="1">
      <alignment horizontal="left" vertical="center"/>
    </xf>
    <xf numFmtId="0" fontId="27" fillId="9" borderId="0" xfId="0" applyFont="1" applyFill="1" applyBorder="1" applyProtection="1"/>
    <xf numFmtId="0" fontId="33" fillId="9" borderId="0" xfId="0" applyFont="1" applyFill="1" applyBorder="1" applyAlignment="1" applyProtection="1">
      <alignment horizontal="left" vertical="center"/>
    </xf>
    <xf numFmtId="0" fontId="27" fillId="9" borderId="0" xfId="0" applyFont="1" applyFill="1" applyAlignment="1" applyProtection="1">
      <alignment vertical="center"/>
    </xf>
    <xf numFmtId="0" fontId="27" fillId="9" borderId="0" xfId="0" applyFont="1" applyFill="1" applyProtection="1"/>
    <xf numFmtId="0" fontId="33" fillId="9" borderId="0" xfId="0" applyFont="1" applyFill="1" applyBorder="1" applyAlignment="1" applyProtection="1">
      <alignment horizontal="left"/>
    </xf>
    <xf numFmtId="0" fontId="43" fillId="9" borderId="27" xfId="0" applyFont="1" applyFill="1" applyBorder="1" applyAlignment="1" applyProtection="1">
      <alignment horizontal="left" vertical="center"/>
    </xf>
    <xf numFmtId="0" fontId="41" fillId="9" borderId="0" xfId="0" applyFont="1" applyFill="1" applyBorder="1" applyAlignment="1" applyProtection="1">
      <alignment horizontal="left"/>
    </xf>
    <xf numFmtId="0" fontId="66" fillId="0" borderId="0" xfId="0" applyFont="1" applyAlignment="1" applyProtection="1">
      <alignment horizontal="left" vertical="center"/>
    </xf>
    <xf numFmtId="0" fontId="27" fillId="0" borderId="0" xfId="0" applyFont="1" applyAlignment="1" applyProtection="1">
      <alignment wrapText="1"/>
    </xf>
    <xf numFmtId="0" fontId="33" fillId="0" borderId="0" xfId="0" applyFont="1" applyAlignment="1" applyProtection="1">
      <alignment horizontal="left" vertical="center" wrapText="1"/>
    </xf>
    <xf numFmtId="0" fontId="27" fillId="0" borderId="33" xfId="0" applyFont="1" applyBorder="1" applyProtection="1"/>
    <xf numFmtId="0" fontId="28" fillId="0" borderId="0" xfId="6" applyFont="1" applyFill="1" applyBorder="1" applyAlignment="1" applyProtection="1">
      <alignment vertical="center"/>
    </xf>
    <xf numFmtId="0" fontId="27" fillId="0" borderId="0" xfId="0" applyFont="1" applyAlignment="1" applyProtection="1">
      <alignment horizontal="center" vertical="center"/>
      <protection locked="0"/>
    </xf>
    <xf numFmtId="0" fontId="28" fillId="8" borderId="0" xfId="0" applyFont="1" applyFill="1" applyBorder="1" applyAlignment="1" applyProtection="1">
      <alignment horizontal="center" vertical="center"/>
      <protection locked="0"/>
    </xf>
    <xf numFmtId="0" fontId="28" fillId="8" borderId="0" xfId="0" applyFont="1" applyFill="1" applyBorder="1" applyAlignment="1" applyProtection="1">
      <alignment vertical="center" wrapText="1"/>
      <protection locked="0"/>
    </xf>
    <xf numFmtId="0" fontId="26" fillId="0" borderId="0" xfId="0" applyFont="1" applyAlignment="1" applyProtection="1">
      <alignment horizontal="center" vertical="center" wrapText="1"/>
    </xf>
    <xf numFmtId="0" fontId="27" fillId="0" borderId="0" xfId="0" applyFont="1" applyAlignment="1" applyProtection="1">
      <alignment horizontal="center" vertical="center"/>
    </xf>
    <xf numFmtId="0" fontId="28" fillId="0" borderId="4" xfId="0" applyFont="1" applyBorder="1" applyAlignment="1" applyProtection="1">
      <alignment vertical="center"/>
      <protection locked="0"/>
    </xf>
    <xf numFmtId="166" fontId="28" fillId="0" borderId="4" xfId="0" applyNumberFormat="1" applyFont="1" applyFill="1" applyBorder="1" applyAlignment="1" applyProtection="1">
      <alignment horizontal="left" vertical="center" wrapText="1"/>
      <protection locked="0"/>
    </xf>
    <xf numFmtId="0" fontId="45" fillId="0" borderId="58" xfId="0" applyFont="1" applyFill="1" applyBorder="1" applyAlignment="1" applyProtection="1">
      <alignment horizontal="left" vertical="center"/>
    </xf>
    <xf numFmtId="0" fontId="29" fillId="0" borderId="66" xfId="0" applyFont="1" applyFill="1" applyBorder="1" applyAlignment="1" applyProtection="1">
      <alignment horizontal="left" vertical="center"/>
    </xf>
    <xf numFmtId="0" fontId="60" fillId="5" borderId="4" xfId="0" applyFont="1" applyFill="1" applyBorder="1" applyAlignment="1" applyProtection="1">
      <alignment horizontal="left" vertical="center"/>
      <protection locked="0"/>
    </xf>
    <xf numFmtId="0" fontId="28" fillId="0" borderId="4" xfId="0" applyFont="1" applyFill="1" applyBorder="1" applyAlignment="1" applyProtection="1">
      <alignment horizontal="left" vertical="center" wrapText="1"/>
      <protection locked="0"/>
    </xf>
    <xf numFmtId="0" fontId="28" fillId="0" borderId="10" xfId="0" applyFont="1" applyFill="1" applyBorder="1" applyAlignment="1" applyProtection="1">
      <alignment horizontal="left" vertical="center"/>
    </xf>
    <xf numFmtId="4" fontId="28" fillId="0" borderId="10" xfId="0" applyNumberFormat="1" applyFont="1" applyFill="1" applyBorder="1" applyAlignment="1" applyProtection="1">
      <alignment horizontal="right" vertical="center"/>
    </xf>
    <xf numFmtId="166" fontId="28" fillId="0" borderId="10" xfId="0" applyNumberFormat="1" applyFont="1" applyFill="1" applyBorder="1" applyAlignment="1" applyProtection="1">
      <alignment horizontal="right" vertical="center"/>
    </xf>
    <xf numFmtId="0" fontId="28" fillId="0" borderId="10" xfId="0" applyFont="1" applyFill="1" applyBorder="1" applyAlignment="1" applyProtection="1">
      <alignment horizontal="left" vertical="center" indent="1"/>
    </xf>
    <xf numFmtId="0" fontId="45" fillId="0" borderId="10" xfId="0" applyFont="1" applyFill="1" applyBorder="1" applyAlignment="1" applyProtection="1">
      <alignment horizontal="left" vertical="center"/>
    </xf>
    <xf numFmtId="0" fontId="29" fillId="0" borderId="10" xfId="0" applyFont="1" applyFill="1" applyBorder="1" applyAlignment="1" applyProtection="1">
      <alignment horizontal="left" vertical="center"/>
    </xf>
    <xf numFmtId="166" fontId="29" fillId="5" borderId="76" xfId="0" applyNumberFormat="1" applyFont="1" applyFill="1" applyBorder="1" applyAlignment="1" applyProtection="1">
      <alignment horizontal="left" vertical="top" wrapText="1"/>
      <protection locked="0"/>
    </xf>
    <xf numFmtId="0" fontId="29" fillId="16" borderId="1" xfId="0" applyFont="1" applyFill="1" applyBorder="1" applyAlignment="1" applyProtection="1">
      <alignment horizontal="center" vertical="center" wrapText="1"/>
    </xf>
    <xf numFmtId="0" fontId="29" fillId="6" borderId="64" xfId="0" applyFont="1" applyFill="1" applyBorder="1" applyAlignment="1" applyProtection="1">
      <alignment horizontal="center" vertical="center" wrapText="1"/>
    </xf>
    <xf numFmtId="0" fontId="29" fillId="8" borderId="50" xfId="0" applyFont="1" applyFill="1" applyBorder="1" applyAlignment="1" applyProtection="1">
      <alignment horizontal="center" vertical="center" wrapText="1"/>
    </xf>
    <xf numFmtId="0" fontId="29" fillId="8" borderId="82" xfId="0" applyFont="1" applyFill="1" applyBorder="1" applyAlignment="1" applyProtection="1">
      <alignment vertical="center" wrapText="1"/>
    </xf>
    <xf numFmtId="168" fontId="29" fillId="16" borderId="50" xfId="0" applyNumberFormat="1" applyFont="1" applyFill="1" applyBorder="1" applyAlignment="1" applyProtection="1">
      <alignment horizontal="center" vertical="center" wrapText="1"/>
    </xf>
    <xf numFmtId="168" fontId="29" fillId="16" borderId="1" xfId="0" applyNumberFormat="1" applyFont="1" applyFill="1" applyBorder="1" applyAlignment="1" applyProtection="1">
      <alignment horizontal="center" vertical="center" wrapText="1"/>
    </xf>
    <xf numFmtId="168" fontId="29" fillId="16" borderId="4" xfId="0" applyNumberFormat="1" applyFont="1" applyFill="1" applyBorder="1" applyAlignment="1" applyProtection="1">
      <alignment horizontal="center" vertical="center" wrapText="1"/>
    </xf>
    <xf numFmtId="168" fontId="29" fillId="17" borderId="6" xfId="0" applyNumberFormat="1" applyFont="1" applyFill="1" applyBorder="1" applyAlignment="1" applyProtection="1">
      <alignment horizontal="center" vertical="center" wrapText="1"/>
    </xf>
    <xf numFmtId="0" fontId="29" fillId="17" borderId="13" xfId="0" applyFont="1" applyFill="1" applyBorder="1" applyAlignment="1" applyProtection="1">
      <alignment horizontal="center" vertical="center" wrapText="1"/>
    </xf>
    <xf numFmtId="0" fontId="29" fillId="17" borderId="4" xfId="0" applyFont="1" applyFill="1" applyBorder="1" applyAlignment="1" applyProtection="1">
      <alignment horizontal="center" vertical="center" wrapText="1"/>
    </xf>
    <xf numFmtId="0" fontId="28" fillId="2" borderId="0" xfId="0" applyFont="1" applyFill="1" applyProtection="1"/>
    <xf numFmtId="0" fontId="33" fillId="0" borderId="0" xfId="0" applyFont="1" applyFill="1" applyBorder="1" applyAlignment="1" applyProtection="1">
      <alignment vertical="center" wrapText="1"/>
    </xf>
    <xf numFmtId="0" fontId="63" fillId="0" borderId="0" xfId="0" applyFont="1" applyFill="1" applyBorder="1" applyAlignment="1" applyProtection="1">
      <alignment vertical="center" wrapText="1"/>
    </xf>
    <xf numFmtId="0" fontId="29" fillId="16" borderId="39" xfId="0" applyFont="1" applyFill="1" applyBorder="1" applyAlignment="1" applyProtection="1">
      <alignment horizontal="center" vertical="center" wrapText="1"/>
    </xf>
    <xf numFmtId="0" fontId="29" fillId="6" borderId="57" xfId="0" applyFont="1" applyFill="1" applyBorder="1" applyAlignment="1" applyProtection="1">
      <alignment vertical="center" wrapText="1"/>
    </xf>
    <xf numFmtId="0" fontId="29" fillId="6" borderId="53" xfId="0" applyFont="1" applyFill="1" applyBorder="1" applyAlignment="1" applyProtection="1">
      <alignment vertical="center"/>
      <protection locked="0"/>
    </xf>
    <xf numFmtId="0" fontId="29" fillId="0" borderId="64" xfId="0" applyFont="1" applyFill="1" applyBorder="1" applyAlignment="1" applyProtection="1">
      <alignment vertical="center" wrapText="1"/>
    </xf>
    <xf numFmtId="0" fontId="28" fillId="0" borderId="16" xfId="0" applyFont="1" applyFill="1" applyBorder="1" applyAlignment="1" applyProtection="1">
      <alignment vertical="center"/>
    </xf>
    <xf numFmtId="0" fontId="28" fillId="0" borderId="8" xfId="0" applyFont="1" applyFill="1" applyBorder="1" applyAlignment="1" applyProtection="1">
      <alignment vertical="center"/>
    </xf>
    <xf numFmtId="0" fontId="28" fillId="0" borderId="35" xfId="0" applyFont="1" applyFill="1" applyBorder="1" applyAlignment="1" applyProtection="1">
      <alignment vertical="center"/>
    </xf>
    <xf numFmtId="0" fontId="28" fillId="6" borderId="73" xfId="0" applyFont="1" applyFill="1" applyBorder="1" applyAlignment="1" applyProtection="1">
      <alignment vertical="center"/>
    </xf>
    <xf numFmtId="0" fontId="29" fillId="6" borderId="82" xfId="0" applyFont="1" applyFill="1" applyBorder="1" applyAlignment="1" applyProtection="1">
      <alignment vertical="center" wrapText="1"/>
    </xf>
    <xf numFmtId="169" fontId="29" fillId="6" borderId="16" xfId="0" applyNumberFormat="1" applyFont="1" applyFill="1" applyBorder="1" applyAlignment="1" applyProtection="1">
      <alignment vertical="center"/>
    </xf>
    <xf numFmtId="0" fontId="28" fillId="6" borderId="37" xfId="0" applyFont="1" applyFill="1" applyBorder="1" applyAlignment="1" applyProtection="1">
      <alignment vertical="center"/>
    </xf>
    <xf numFmtId="0" fontId="28" fillId="6" borderId="82" xfId="0" applyFont="1" applyFill="1" applyBorder="1" applyAlignment="1" applyProtection="1">
      <alignment vertical="center" wrapText="1"/>
    </xf>
    <xf numFmtId="169" fontId="28" fillId="0" borderId="13" xfId="0" applyNumberFormat="1" applyFont="1" applyFill="1" applyBorder="1" applyAlignment="1" applyProtection="1">
      <alignment vertical="center" wrapText="1"/>
      <protection locked="0"/>
    </xf>
    <xf numFmtId="0" fontId="28" fillId="6" borderId="4" xfId="0" applyFont="1" applyFill="1" applyBorder="1" applyAlignment="1" applyProtection="1">
      <alignment vertical="center"/>
      <protection locked="0"/>
    </xf>
    <xf numFmtId="0" fontId="28" fillId="6" borderId="38" xfId="0" applyFont="1" applyFill="1" applyBorder="1" applyAlignment="1" applyProtection="1">
      <alignment vertical="center" wrapText="1"/>
    </xf>
    <xf numFmtId="169" fontId="28" fillId="0" borderId="4" xfId="0" applyNumberFormat="1" applyFont="1" applyFill="1" applyBorder="1" applyAlignment="1" applyProtection="1">
      <alignment vertical="center" wrapText="1"/>
      <protection locked="0"/>
    </xf>
    <xf numFmtId="169" fontId="29" fillId="0" borderId="18" xfId="0" applyNumberFormat="1" applyFont="1" applyFill="1" applyBorder="1" applyAlignment="1" applyProtection="1">
      <alignment vertical="center" wrapText="1"/>
      <protection locked="0"/>
    </xf>
    <xf numFmtId="0" fontId="29" fillId="6" borderId="61" xfId="0" applyFont="1" applyFill="1" applyBorder="1" applyAlignment="1" applyProtection="1">
      <alignment vertical="center"/>
      <protection locked="0"/>
    </xf>
    <xf numFmtId="0" fontId="28" fillId="6" borderId="48" xfId="0" applyFont="1" applyFill="1" applyBorder="1" applyAlignment="1" applyProtection="1">
      <alignment vertical="center"/>
    </xf>
    <xf numFmtId="0" fontId="28" fillId="6" borderId="4" xfId="0" applyFont="1" applyFill="1" applyBorder="1" applyAlignment="1" applyProtection="1">
      <alignment vertical="center" wrapText="1"/>
      <protection locked="0"/>
    </xf>
    <xf numFmtId="0" fontId="29" fillId="6" borderId="86" xfId="0" applyFont="1" applyFill="1" applyBorder="1" applyAlignment="1" applyProtection="1">
      <alignment vertical="center" wrapText="1"/>
    </xf>
    <xf numFmtId="0" fontId="29" fillId="0" borderId="87" xfId="0" applyFont="1" applyFill="1" applyBorder="1" applyAlignment="1" applyProtection="1">
      <alignment vertical="center" wrapText="1"/>
    </xf>
    <xf numFmtId="0" fontId="28" fillId="6" borderId="71" xfId="0" applyFont="1" applyFill="1" applyBorder="1" applyAlignment="1" applyProtection="1">
      <alignment vertical="center"/>
      <protection locked="0"/>
    </xf>
    <xf numFmtId="169" fontId="28" fillId="6" borderId="4" xfId="0" applyNumberFormat="1" applyFont="1" applyFill="1" applyBorder="1" applyAlignment="1" applyProtection="1">
      <alignment vertical="center"/>
      <protection locked="0"/>
    </xf>
    <xf numFmtId="169" fontId="77" fillId="6" borderId="4" xfId="0" applyNumberFormat="1" applyFont="1" applyFill="1" applyBorder="1" applyAlignment="1" applyProtection="1">
      <alignment vertical="center"/>
      <protection locked="0"/>
    </xf>
    <xf numFmtId="0" fontId="29" fillId="6" borderId="80" xfId="0" applyFont="1" applyFill="1" applyBorder="1" applyAlignment="1" applyProtection="1">
      <alignment vertical="center" wrapText="1"/>
    </xf>
    <xf numFmtId="0" fontId="76" fillId="0" borderId="0" xfId="0" applyFont="1" applyFill="1" applyBorder="1" applyAlignment="1" applyProtection="1">
      <alignment vertical="center" wrapText="1"/>
    </xf>
    <xf numFmtId="169" fontId="76" fillId="0" borderId="0" xfId="0" applyNumberFormat="1" applyFont="1" applyFill="1" applyBorder="1" applyAlignment="1" applyProtection="1">
      <alignment vertical="center"/>
    </xf>
    <xf numFmtId="168" fontId="29" fillId="16" borderId="35" xfId="0" applyNumberFormat="1" applyFont="1" applyFill="1" applyBorder="1" applyAlignment="1" applyProtection="1">
      <alignment horizontal="center" vertical="center" wrapText="1"/>
    </xf>
    <xf numFmtId="168" fontId="29" fillId="16" borderId="39" xfId="0" applyNumberFormat="1" applyFont="1" applyFill="1" applyBorder="1" applyAlignment="1" applyProtection="1">
      <alignment horizontal="center" vertical="center" wrapText="1"/>
    </xf>
    <xf numFmtId="168" fontId="29" fillId="16" borderId="76" xfId="0" applyNumberFormat="1" applyFont="1" applyFill="1" applyBorder="1" applyAlignment="1" applyProtection="1">
      <alignment horizontal="center" vertical="center" wrapText="1"/>
    </xf>
    <xf numFmtId="168" fontId="29" fillId="17" borderId="50" xfId="0" applyNumberFormat="1" applyFont="1" applyFill="1" applyBorder="1" applyAlignment="1" applyProtection="1">
      <alignment horizontal="center" vertical="center" wrapText="1"/>
    </xf>
    <xf numFmtId="0" fontId="29" fillId="0" borderId="52" xfId="0" applyFont="1" applyBorder="1" applyAlignment="1" applyProtection="1">
      <alignment vertical="center" wrapText="1"/>
    </xf>
    <xf numFmtId="169" fontId="28" fillId="14" borderId="1" xfId="0" applyNumberFormat="1" applyFont="1" applyFill="1" applyBorder="1" applyAlignment="1" applyProtection="1">
      <alignment vertical="center"/>
    </xf>
    <xf numFmtId="0" fontId="28" fillId="0" borderId="50" xfId="0" applyFont="1" applyBorder="1" applyAlignment="1" applyProtection="1">
      <alignment vertical="center" wrapText="1"/>
    </xf>
    <xf numFmtId="0" fontId="28" fillId="0" borderId="80" xfId="0" applyFont="1" applyBorder="1" applyAlignment="1" applyProtection="1">
      <alignment vertical="center" wrapText="1"/>
    </xf>
    <xf numFmtId="169" fontId="28" fillId="14" borderId="45" xfId="0" applyNumberFormat="1" applyFont="1" applyFill="1" applyBorder="1" applyAlignment="1" applyProtection="1">
      <alignment vertical="center"/>
    </xf>
    <xf numFmtId="169" fontId="28" fillId="0" borderId="53" xfId="0" applyNumberFormat="1" applyFont="1" applyFill="1" applyBorder="1" applyAlignment="1" applyProtection="1">
      <alignment vertical="center" wrapText="1"/>
      <protection locked="0"/>
    </xf>
    <xf numFmtId="0" fontId="28" fillId="6" borderId="53" xfId="0" applyFont="1" applyFill="1" applyBorder="1" applyAlignment="1" applyProtection="1">
      <alignment vertical="center" wrapText="1"/>
      <protection locked="0"/>
    </xf>
    <xf numFmtId="0" fontId="29" fillId="8" borderId="43" xfId="0" applyFont="1" applyFill="1" applyBorder="1" applyAlignment="1" applyProtection="1">
      <alignment horizontal="left" vertical="center" wrapText="1"/>
    </xf>
    <xf numFmtId="0" fontId="29" fillId="8" borderId="41" xfId="0" applyFont="1" applyFill="1" applyBorder="1" applyAlignment="1" applyProtection="1">
      <alignment horizontal="left" vertical="center" wrapText="1"/>
    </xf>
    <xf numFmtId="168" fontId="29" fillId="16" borderId="50" xfId="0" applyNumberFormat="1" applyFont="1" applyFill="1" applyBorder="1" applyAlignment="1" applyProtection="1">
      <alignment horizontal="center" wrapText="1"/>
    </xf>
    <xf numFmtId="168" fontId="29" fillId="16" borderId="1" xfId="0" applyNumberFormat="1" applyFont="1" applyFill="1" applyBorder="1" applyAlignment="1" applyProtection="1">
      <alignment horizontal="center" wrapText="1"/>
    </xf>
    <xf numFmtId="0" fontId="29" fillId="16" borderId="1" xfId="0" applyFont="1" applyFill="1" applyBorder="1" applyAlignment="1" applyProtection="1">
      <alignment horizontal="center" wrapText="1"/>
    </xf>
    <xf numFmtId="168" fontId="29" fillId="16" borderId="4" xfId="0" applyNumberFormat="1" applyFont="1" applyFill="1" applyBorder="1" applyAlignment="1" applyProtection="1">
      <alignment horizontal="center" wrapText="1"/>
    </xf>
    <xf numFmtId="168" fontId="29" fillId="17" borderId="50" xfId="0" applyNumberFormat="1" applyFont="1" applyFill="1" applyBorder="1" applyAlignment="1" applyProtection="1">
      <alignment horizontal="center" wrapText="1"/>
    </xf>
    <xf numFmtId="0" fontId="29" fillId="17" borderId="1" xfId="0" applyFont="1" applyFill="1" applyBorder="1" applyAlignment="1" applyProtection="1">
      <alignment horizontal="center" wrapText="1"/>
    </xf>
    <xf numFmtId="0" fontId="29" fillId="17" borderId="37" xfId="0" applyFont="1" applyFill="1" applyBorder="1" applyAlignment="1" applyProtection="1">
      <alignment horizontal="center" wrapText="1"/>
    </xf>
    <xf numFmtId="0" fontId="28" fillId="6" borderId="59" xfId="0" applyFont="1" applyFill="1" applyBorder="1" applyAlignment="1" applyProtection="1">
      <alignment vertical="center" wrapText="1"/>
    </xf>
    <xf numFmtId="0" fontId="29" fillId="6" borderId="4" xfId="0" applyFont="1" applyFill="1" applyBorder="1" applyAlignment="1" applyProtection="1">
      <alignment vertical="center" wrapText="1"/>
      <protection locked="0"/>
    </xf>
    <xf numFmtId="0" fontId="29" fillId="0" borderId="53" xfId="0" applyFont="1" applyFill="1" applyBorder="1" applyAlignment="1" applyProtection="1">
      <alignment vertical="center" wrapText="1"/>
      <protection locked="0"/>
    </xf>
    <xf numFmtId="0" fontId="29" fillId="6" borderId="53" xfId="0" applyFont="1" applyFill="1" applyBorder="1" applyAlignment="1" applyProtection="1">
      <alignment vertical="center" wrapText="1"/>
      <protection locked="0"/>
    </xf>
    <xf numFmtId="0" fontId="28" fillId="0" borderId="0" xfId="0" applyFont="1" applyAlignment="1" applyProtection="1">
      <alignment wrapText="1"/>
    </xf>
    <xf numFmtId="0" fontId="28" fillId="0" borderId="0" xfId="0" applyFont="1" applyBorder="1" applyProtection="1"/>
    <xf numFmtId="0" fontId="28" fillId="0" borderId="0" xfId="0" applyFont="1" applyAlignment="1" applyProtection="1">
      <alignment vertical="center"/>
    </xf>
    <xf numFmtId="0" fontId="27" fillId="0" borderId="61" xfId="0" applyFont="1" applyFill="1" applyBorder="1" applyAlignment="1" applyProtection="1">
      <alignment vertical="center"/>
    </xf>
    <xf numFmtId="0" fontId="33" fillId="0" borderId="11" xfId="0" applyFont="1" applyFill="1" applyBorder="1" applyAlignment="1" applyProtection="1">
      <alignment vertical="center" wrapText="1"/>
    </xf>
    <xf numFmtId="0" fontId="28" fillId="0" borderId="11" xfId="0" applyFont="1" applyBorder="1" applyProtection="1"/>
    <xf numFmtId="0" fontId="33" fillId="0" borderId="33" xfId="0" applyFont="1" applyFill="1" applyBorder="1" applyAlignment="1" applyProtection="1">
      <alignment horizontal="left" vertical="center"/>
    </xf>
    <xf numFmtId="0" fontId="27" fillId="0" borderId="33" xfId="0" applyFont="1" applyFill="1" applyBorder="1" applyAlignment="1" applyProtection="1">
      <alignment vertical="center"/>
    </xf>
    <xf numFmtId="0" fontId="33" fillId="7" borderId="33" xfId="0" applyFont="1" applyFill="1" applyBorder="1" applyAlignment="1" applyProtection="1">
      <alignment vertical="center" wrapText="1"/>
    </xf>
    <xf numFmtId="0" fontId="27" fillId="0" borderId="20" xfId="0" applyFont="1" applyBorder="1"/>
    <xf numFmtId="0" fontId="27" fillId="0" borderId="20" xfId="0" applyFont="1" applyBorder="1" applyProtection="1"/>
    <xf numFmtId="166" fontId="28" fillId="0" borderId="71" xfId="0" applyNumberFormat="1" applyFont="1" applyFill="1" applyBorder="1" applyAlignment="1" applyProtection="1">
      <alignment horizontal="left" vertical="center" wrapText="1"/>
      <protection locked="0"/>
    </xf>
    <xf numFmtId="0" fontId="63" fillId="0" borderId="0" xfId="0" applyFont="1" applyAlignment="1" applyProtection="1">
      <alignment vertical="center"/>
    </xf>
    <xf numFmtId="0" fontId="28" fillId="2" borderId="41" xfId="0" applyFont="1" applyFill="1" applyBorder="1" applyAlignment="1" applyProtection="1">
      <alignment vertical="center"/>
      <protection locked="0"/>
    </xf>
    <xf numFmtId="166" fontId="28" fillId="0" borderId="76" xfId="0" applyNumberFormat="1" applyFont="1" applyFill="1" applyBorder="1" applyAlignment="1" applyProtection="1">
      <alignment horizontal="left" vertical="center"/>
      <protection locked="0"/>
    </xf>
    <xf numFmtId="166" fontId="28" fillId="0" borderId="4" xfId="0" applyNumberFormat="1" applyFont="1" applyFill="1" applyBorder="1" applyAlignment="1" applyProtection="1">
      <alignment horizontal="left" vertical="center"/>
      <protection locked="0"/>
    </xf>
    <xf numFmtId="166" fontId="28" fillId="0" borderId="71" xfId="0" applyNumberFormat="1" applyFont="1" applyFill="1" applyBorder="1" applyAlignment="1" applyProtection="1">
      <alignment horizontal="left" vertical="center"/>
      <protection locked="0"/>
    </xf>
    <xf numFmtId="166" fontId="28" fillId="0" borderId="75" xfId="0" applyNumberFormat="1" applyFont="1" applyFill="1" applyBorder="1" applyAlignment="1" applyProtection="1">
      <alignment horizontal="left" vertical="center"/>
    </xf>
    <xf numFmtId="0" fontId="28" fillId="2" borderId="10" xfId="0" applyFont="1" applyFill="1" applyBorder="1" applyAlignment="1" applyProtection="1">
      <alignment horizontal="left" vertical="center"/>
    </xf>
    <xf numFmtId="4" fontId="28" fillId="2" borderId="10" xfId="0" applyNumberFormat="1" applyFont="1" applyFill="1" applyBorder="1" applyAlignment="1" applyProtection="1">
      <alignment horizontal="right" vertical="center"/>
    </xf>
    <xf numFmtId="166" fontId="28" fillId="2" borderId="10" xfId="0" applyNumberFormat="1" applyFont="1" applyFill="1" applyBorder="1" applyAlignment="1" applyProtection="1">
      <alignment horizontal="right" vertical="center"/>
    </xf>
    <xf numFmtId="0" fontId="29" fillId="0" borderId="67" xfId="0" applyFont="1" applyFill="1" applyBorder="1" applyAlignment="1" applyProtection="1">
      <alignment horizontal="center" vertical="center"/>
    </xf>
    <xf numFmtId="0" fontId="29" fillId="11" borderId="11" xfId="0" applyFont="1" applyFill="1" applyBorder="1" applyAlignment="1" applyProtection="1">
      <alignment horizontal="center" vertical="center"/>
      <protection locked="0"/>
    </xf>
    <xf numFmtId="0" fontId="29" fillId="6" borderId="10" xfId="0" applyFont="1" applyFill="1" applyBorder="1" applyAlignment="1" applyProtection="1"/>
    <xf numFmtId="0" fontId="29" fillId="6" borderId="58" xfId="0" applyFont="1" applyFill="1" applyBorder="1" applyAlignment="1" applyProtection="1"/>
    <xf numFmtId="0" fontId="28" fillId="2" borderId="58" xfId="0" applyFont="1" applyFill="1" applyBorder="1" applyProtection="1"/>
    <xf numFmtId="165" fontId="28" fillId="2" borderId="11" xfId="1" applyNumberFormat="1" applyFont="1" applyFill="1" applyBorder="1" applyProtection="1"/>
    <xf numFmtId="0" fontId="29" fillId="11" borderId="36" xfId="0" applyFont="1" applyFill="1" applyBorder="1" applyAlignment="1" applyProtection="1">
      <alignment horizontal="center" vertical="center" wrapText="1"/>
    </xf>
    <xf numFmtId="0" fontId="29" fillId="11" borderId="2" xfId="0" applyFont="1" applyFill="1" applyBorder="1" applyAlignment="1" applyProtection="1">
      <alignment horizontal="center" vertical="center" wrapText="1"/>
    </xf>
    <xf numFmtId="0" fontId="29" fillId="6" borderId="43" xfId="0" applyFont="1" applyFill="1" applyBorder="1" applyAlignment="1" applyProtection="1">
      <alignment horizontal="center" vertical="center"/>
      <protection locked="0"/>
    </xf>
    <xf numFmtId="0" fontId="29" fillId="6" borderId="59" xfId="0" applyFont="1" applyFill="1" applyBorder="1" applyAlignment="1" applyProtection="1">
      <alignment horizontal="center" vertical="center"/>
      <protection locked="0"/>
    </xf>
    <xf numFmtId="0" fontId="29" fillId="6" borderId="38" xfId="0" applyFont="1" applyFill="1" applyBorder="1" applyAlignment="1" applyProtection="1">
      <alignment horizontal="center" vertical="center"/>
      <protection locked="0"/>
    </xf>
    <xf numFmtId="0" fontId="29" fillId="6" borderId="88" xfId="0" applyFont="1" applyFill="1" applyBorder="1" applyAlignment="1" applyProtection="1">
      <alignment horizontal="center" vertical="center"/>
      <protection locked="0"/>
    </xf>
    <xf numFmtId="0" fontId="29" fillId="6" borderId="11" xfId="0" applyFont="1" applyFill="1" applyBorder="1" applyAlignment="1" applyProtection="1">
      <alignment horizontal="center" vertical="center"/>
      <protection locked="0"/>
    </xf>
    <xf numFmtId="0" fontId="29" fillId="6" borderId="93" xfId="0" applyFont="1" applyFill="1" applyBorder="1" applyAlignment="1" applyProtection="1">
      <alignment horizontal="center" vertical="center"/>
      <protection locked="0"/>
    </xf>
    <xf numFmtId="0" fontId="29" fillId="6" borderId="86" xfId="0" applyFont="1" applyFill="1" applyBorder="1" applyAlignment="1" applyProtection="1">
      <alignment horizontal="center" vertical="center"/>
      <protection locked="0"/>
    </xf>
    <xf numFmtId="166" fontId="28" fillId="6" borderId="33" xfId="0" applyNumberFormat="1" applyFont="1" applyFill="1" applyBorder="1" applyAlignment="1" applyProtection="1">
      <alignment horizontal="right" vertical="center"/>
    </xf>
    <xf numFmtId="0" fontId="29" fillId="6" borderId="0" xfId="0" applyFont="1" applyFill="1" applyBorder="1" applyAlignment="1" applyProtection="1">
      <alignment horizontal="center"/>
    </xf>
    <xf numFmtId="0" fontId="29" fillId="2" borderId="23" xfId="0" applyFont="1" applyFill="1" applyBorder="1" applyAlignment="1" applyProtection="1">
      <alignment horizontal="left"/>
    </xf>
    <xf numFmtId="0" fontId="44" fillId="2" borderId="23" xfId="0" applyFont="1" applyFill="1" applyBorder="1" applyAlignment="1" applyProtection="1">
      <alignment horizontal="left"/>
    </xf>
    <xf numFmtId="0" fontId="44" fillId="2" borderId="30" xfId="0" applyFont="1" applyFill="1" applyBorder="1" applyAlignment="1" applyProtection="1">
      <alignment horizontal="left"/>
    </xf>
    <xf numFmtId="0" fontId="44" fillId="2" borderId="56" xfId="0" applyFont="1" applyFill="1" applyBorder="1" applyAlignment="1" applyProtection="1">
      <alignment horizontal="left"/>
    </xf>
    <xf numFmtId="0" fontId="28" fillId="2" borderId="29" xfId="0" applyFont="1" applyFill="1" applyBorder="1" applyAlignment="1" applyProtection="1">
      <alignment horizontal="left" vertical="center" wrapText="1"/>
    </xf>
    <xf numFmtId="166" fontId="28" fillId="2" borderId="30" xfId="0" applyNumberFormat="1" applyFont="1" applyFill="1" applyBorder="1" applyAlignment="1" applyProtection="1">
      <alignment horizontal="right" vertical="center"/>
    </xf>
    <xf numFmtId="166" fontId="28" fillId="2" borderId="56" xfId="0" applyNumberFormat="1" applyFont="1" applyFill="1" applyBorder="1" applyAlignment="1" applyProtection="1">
      <alignment horizontal="right" vertical="center"/>
    </xf>
    <xf numFmtId="0" fontId="28" fillId="0" borderId="23" xfId="0" applyFont="1" applyFill="1" applyBorder="1" applyAlignment="1" applyProtection="1">
      <alignment horizontal="left" vertical="center"/>
    </xf>
    <xf numFmtId="0" fontId="28" fillId="0" borderId="31" xfId="0" applyFont="1" applyFill="1" applyBorder="1" applyAlignment="1" applyProtection="1">
      <alignment horizontal="left" vertical="center"/>
    </xf>
    <xf numFmtId="0" fontId="29" fillId="16" borderId="40" xfId="0" applyFont="1" applyFill="1" applyBorder="1" applyAlignment="1" applyProtection="1">
      <alignment horizontal="center" vertical="center"/>
    </xf>
    <xf numFmtId="0" fontId="29" fillId="16" borderId="55" xfId="0" applyFont="1" applyFill="1" applyBorder="1" applyAlignment="1" applyProtection="1">
      <alignment horizontal="center" vertical="center"/>
    </xf>
    <xf numFmtId="0" fontId="29" fillId="0" borderId="62" xfId="0" applyFont="1" applyFill="1" applyBorder="1" applyAlignment="1" applyProtection="1">
      <alignment horizontal="left" vertical="center" wrapText="1"/>
    </xf>
    <xf numFmtId="0" fontId="28" fillId="0" borderId="62" xfId="0" applyFont="1" applyFill="1" applyBorder="1" applyAlignment="1" applyProtection="1">
      <alignment wrapText="1"/>
    </xf>
    <xf numFmtId="0" fontId="29" fillId="0" borderId="62" xfId="0" applyFont="1" applyFill="1" applyBorder="1" applyAlignment="1" applyProtection="1">
      <alignment horizontal="center" vertical="center"/>
    </xf>
    <xf numFmtId="0" fontId="29" fillId="0" borderId="30" xfId="0" applyFont="1" applyFill="1" applyBorder="1" applyAlignment="1" applyProtection="1">
      <alignment horizontal="center" vertical="center" wrapText="1"/>
    </xf>
    <xf numFmtId="0" fontId="28" fillId="0" borderId="62" xfId="0" applyFont="1" applyFill="1" applyBorder="1" applyAlignment="1" applyProtection="1">
      <alignment vertical="center" wrapText="1"/>
    </xf>
    <xf numFmtId="0" fontId="28" fillId="0" borderId="30" xfId="0" applyFont="1" applyFill="1" applyBorder="1" applyAlignment="1" applyProtection="1">
      <alignment vertical="center" wrapText="1"/>
    </xf>
    <xf numFmtId="0" fontId="29" fillId="0" borderId="30" xfId="0" applyFont="1" applyFill="1" applyBorder="1" applyAlignment="1" applyProtection="1">
      <alignment horizontal="center" vertical="center"/>
    </xf>
    <xf numFmtId="0" fontId="29" fillId="0" borderId="62" xfId="0" applyFont="1" applyFill="1" applyBorder="1" applyAlignment="1" applyProtection="1">
      <alignment horizontal="center" vertical="center" wrapText="1"/>
    </xf>
    <xf numFmtId="0" fontId="28" fillId="0" borderId="30" xfId="0" applyFont="1" applyFill="1" applyBorder="1" applyAlignment="1" applyProtection="1">
      <alignment horizontal="center" vertical="center" wrapText="1"/>
    </xf>
    <xf numFmtId="0" fontId="28" fillId="0" borderId="62" xfId="0" applyFont="1" applyFill="1" applyBorder="1" applyAlignment="1" applyProtection="1">
      <alignment horizontal="center" vertical="center" wrapText="1"/>
    </xf>
    <xf numFmtId="0" fontId="28" fillId="0" borderId="56" xfId="0" applyFont="1" applyFill="1" applyBorder="1" applyAlignment="1" applyProtection="1">
      <alignment horizontal="center" vertical="center" wrapText="1"/>
    </xf>
    <xf numFmtId="0" fontId="29" fillId="16" borderId="33" xfId="0" applyFont="1" applyFill="1" applyBorder="1" applyAlignment="1" applyProtection="1">
      <alignment vertical="center"/>
    </xf>
    <xf numFmtId="0" fontId="28" fillId="16" borderId="33" xfId="0" applyFont="1" applyFill="1" applyBorder="1"/>
    <xf numFmtId="0" fontId="28" fillId="16" borderId="94" xfId="0" applyFont="1" applyFill="1" applyBorder="1"/>
    <xf numFmtId="0" fontId="28" fillId="16" borderId="26" xfId="0" applyFont="1" applyFill="1" applyBorder="1" applyAlignment="1" applyProtection="1">
      <alignment vertical="center"/>
    </xf>
    <xf numFmtId="0" fontId="29" fillId="16" borderId="95" xfId="0" applyFont="1" applyFill="1" applyBorder="1" applyAlignment="1" applyProtection="1"/>
    <xf numFmtId="0" fontId="28" fillId="2" borderId="0" xfId="0" applyFont="1" applyFill="1" applyBorder="1" applyAlignment="1" applyProtection="1">
      <alignment vertical="center"/>
    </xf>
    <xf numFmtId="0" fontId="29" fillId="2" borderId="0" xfId="0" applyFont="1" applyFill="1" applyBorder="1" applyAlignment="1" applyProtection="1">
      <alignment horizontal="center" vertical="center"/>
    </xf>
    <xf numFmtId="0" fontId="29" fillId="2" borderId="10" xfId="0" applyFont="1" applyFill="1" applyBorder="1" applyAlignment="1" applyProtection="1"/>
    <xf numFmtId="0" fontId="29" fillId="16" borderId="65" xfId="0" applyFont="1" applyFill="1" applyBorder="1" applyAlignment="1" applyProtection="1">
      <alignment horizontal="center" vertical="center" wrapText="1"/>
    </xf>
    <xf numFmtId="0" fontId="29" fillId="16" borderId="65" xfId="0" applyFont="1" applyFill="1" applyBorder="1" applyAlignment="1" applyProtection="1">
      <alignment horizontal="center" vertical="center"/>
    </xf>
    <xf numFmtId="0" fontId="29" fillId="16" borderId="75" xfId="0" applyFont="1" applyFill="1" applyBorder="1" applyAlignment="1" applyProtection="1">
      <alignment horizontal="center" vertical="center" wrapText="1"/>
    </xf>
    <xf numFmtId="173" fontId="28" fillId="0" borderId="39" xfId="0" applyNumberFormat="1" applyFont="1" applyFill="1" applyBorder="1" applyAlignment="1" applyProtection="1">
      <alignment horizontal="center" vertical="center"/>
      <protection locked="0"/>
    </xf>
    <xf numFmtId="173" fontId="28" fillId="16" borderId="39" xfId="0" applyNumberFormat="1" applyFont="1" applyFill="1" applyBorder="1" applyAlignment="1" applyProtection="1">
      <alignment horizontal="center" vertical="center"/>
    </xf>
    <xf numFmtId="173" fontId="28" fillId="0" borderId="1" xfId="0" applyNumberFormat="1" applyFont="1" applyFill="1" applyBorder="1" applyAlignment="1" applyProtection="1">
      <alignment horizontal="center" vertical="center"/>
      <protection locked="0"/>
    </xf>
    <xf numFmtId="173" fontId="28" fillId="0" borderId="21" xfId="0" applyNumberFormat="1" applyFont="1" applyFill="1" applyBorder="1" applyAlignment="1" applyProtection="1">
      <alignment horizontal="center" vertical="center"/>
      <protection locked="0"/>
    </xf>
    <xf numFmtId="173" fontId="28" fillId="16" borderId="65" xfId="0" applyNumberFormat="1" applyFont="1" applyFill="1" applyBorder="1" applyAlignment="1" applyProtection="1">
      <alignment horizontal="center" vertical="center"/>
    </xf>
    <xf numFmtId="0" fontId="29" fillId="6" borderId="33" xfId="0" applyFont="1" applyFill="1" applyBorder="1" applyAlignment="1" applyProtection="1">
      <alignment horizontal="right" vertical="center"/>
    </xf>
    <xf numFmtId="0" fontId="29" fillId="6" borderId="0" xfId="0" applyFont="1" applyFill="1" applyBorder="1" applyAlignment="1" applyProtection="1">
      <alignment horizontal="right" vertical="center"/>
    </xf>
    <xf numFmtId="166" fontId="28" fillId="6" borderId="0" xfId="0" applyNumberFormat="1" applyFont="1" applyFill="1" applyBorder="1" applyAlignment="1" applyProtection="1">
      <alignment horizontal="right" vertical="center"/>
    </xf>
    <xf numFmtId="166" fontId="29" fillId="6" borderId="0" xfId="0" applyNumberFormat="1" applyFont="1" applyFill="1" applyBorder="1" applyAlignment="1" applyProtection="1">
      <alignment horizontal="right" vertical="center"/>
    </xf>
    <xf numFmtId="0" fontId="28" fillId="6" borderId="0" xfId="0" applyFont="1" applyFill="1" applyBorder="1" applyAlignment="1" applyProtection="1">
      <alignment horizontal="right" vertical="center"/>
    </xf>
    <xf numFmtId="0" fontId="29" fillId="16" borderId="41" xfId="0" applyFont="1" applyFill="1" applyBorder="1" applyAlignment="1" applyProtection="1">
      <alignment horizontal="center" vertical="center" wrapText="1"/>
    </xf>
    <xf numFmtId="0" fontId="78" fillId="2" borderId="0" xfId="0" applyFont="1" applyFill="1" applyBorder="1" applyProtection="1"/>
    <xf numFmtId="15" fontId="28" fillId="2" borderId="50" xfId="0" applyNumberFormat="1" applyFont="1" applyFill="1" applyBorder="1" applyAlignment="1" applyProtection="1">
      <alignment horizontal="center" vertical="center"/>
      <protection locked="0"/>
    </xf>
    <xf numFmtId="0" fontId="29" fillId="4" borderId="4" xfId="0" applyFont="1" applyFill="1" applyBorder="1" applyAlignment="1" applyProtection="1">
      <alignment horizontal="center" vertical="center" wrapText="1"/>
    </xf>
    <xf numFmtId="0" fontId="29" fillId="12" borderId="53" xfId="0" applyFont="1" applyFill="1" applyBorder="1" applyAlignment="1" applyProtection="1">
      <alignment horizontal="center" vertical="center" wrapText="1"/>
    </xf>
    <xf numFmtId="0" fontId="29" fillId="16" borderId="36" xfId="0" applyFont="1" applyFill="1" applyBorder="1" applyAlignment="1" applyProtection="1">
      <alignment horizontal="center" vertical="center" wrapText="1"/>
    </xf>
    <xf numFmtId="0" fontId="29" fillId="12" borderId="36" xfId="0" applyFont="1" applyFill="1" applyBorder="1" applyAlignment="1" applyProtection="1">
      <alignment horizontal="center" vertical="center" wrapText="1"/>
    </xf>
    <xf numFmtId="0" fontId="60" fillId="5" borderId="12" xfId="0" applyFont="1" applyFill="1" applyBorder="1" applyAlignment="1" applyProtection="1">
      <alignment horizontal="left" vertical="center"/>
      <protection locked="0"/>
    </xf>
    <xf numFmtId="0" fontId="29" fillId="16" borderId="43" xfId="0" applyFont="1" applyFill="1" applyBorder="1" applyAlignment="1" applyProtection="1">
      <alignment horizontal="center" vertical="center" wrapText="1"/>
    </xf>
    <xf numFmtId="0" fontId="29" fillId="16" borderId="14" xfId="0" applyFont="1" applyFill="1" applyBorder="1" applyAlignment="1" applyProtection="1">
      <alignment horizontal="center" vertical="center" wrapText="1"/>
    </xf>
    <xf numFmtId="166" fontId="29" fillId="5" borderId="54" xfId="0" applyNumberFormat="1" applyFont="1" applyFill="1" applyBorder="1" applyAlignment="1" applyProtection="1">
      <alignment horizontal="right" vertical="center" wrapText="1"/>
      <protection locked="0"/>
    </xf>
    <xf numFmtId="166" fontId="29" fillId="5" borderId="83" xfId="0" applyNumberFormat="1" applyFont="1" applyFill="1" applyBorder="1" applyAlignment="1" applyProtection="1">
      <alignment horizontal="right" vertical="center" wrapText="1"/>
      <protection locked="0"/>
    </xf>
    <xf numFmtId="0" fontId="29" fillId="16" borderId="84" xfId="0" applyFont="1" applyFill="1" applyBorder="1" applyAlignment="1" applyProtection="1">
      <alignment horizontal="center" vertical="center" wrapText="1"/>
    </xf>
    <xf numFmtId="0" fontId="29" fillId="4" borderId="1" xfId="0" applyFont="1" applyFill="1" applyBorder="1" applyAlignment="1" applyProtection="1">
      <alignment horizontal="center" vertical="center" wrapText="1"/>
    </xf>
    <xf numFmtId="0" fontId="28" fillId="0" borderId="33" xfId="0" applyFont="1" applyBorder="1" applyProtection="1"/>
    <xf numFmtId="0" fontId="36" fillId="6" borderId="0" xfId="0" applyFont="1" applyFill="1" applyBorder="1" applyAlignment="1" applyProtection="1">
      <alignment horizontal="left" vertical="center"/>
    </xf>
    <xf numFmtId="0" fontId="33" fillId="2" borderId="0" xfId="0" applyFont="1" applyFill="1" applyAlignment="1" applyProtection="1">
      <alignment horizontal="left" vertical="center" wrapText="1"/>
    </xf>
    <xf numFmtId="0" fontId="23" fillId="8" borderId="1" xfId="0" applyFont="1" applyFill="1" applyBorder="1" applyAlignment="1" applyProtection="1">
      <alignment horizontal="left" vertical="center"/>
    </xf>
    <xf numFmtId="0" fontId="23" fillId="8" borderId="1" xfId="0" applyFont="1" applyFill="1" applyBorder="1" applyAlignment="1" applyProtection="1">
      <alignment vertical="center"/>
    </xf>
    <xf numFmtId="0" fontId="23" fillId="6" borderId="0" xfId="0" applyFont="1" applyFill="1" applyBorder="1" applyAlignment="1" applyProtection="1">
      <alignment vertical="center"/>
    </xf>
    <xf numFmtId="0" fontId="33" fillId="9" borderId="0" xfId="0" applyFont="1" applyFill="1" applyProtection="1"/>
    <xf numFmtId="0" fontId="29" fillId="6" borderId="0" xfId="0" applyFont="1" applyFill="1" applyBorder="1" applyAlignment="1" applyProtection="1"/>
    <xf numFmtId="0" fontId="23" fillId="8" borderId="13" xfId="0" applyFont="1" applyFill="1" applyBorder="1" applyAlignment="1" applyProtection="1">
      <alignment vertical="center"/>
    </xf>
    <xf numFmtId="0" fontId="23" fillId="8" borderId="16" xfId="0" applyFont="1" applyFill="1" applyBorder="1" applyAlignment="1" applyProtection="1">
      <alignment vertical="center"/>
    </xf>
    <xf numFmtId="0" fontId="23" fillId="8" borderId="6" xfId="0" applyFont="1" applyFill="1" applyBorder="1" applyAlignment="1" applyProtection="1">
      <alignment vertical="center"/>
    </xf>
    <xf numFmtId="0" fontId="41" fillId="6" borderId="0" xfId="0" applyFont="1" applyFill="1" applyBorder="1" applyAlignment="1" applyProtection="1">
      <alignment horizontal="left"/>
    </xf>
    <xf numFmtId="0" fontId="0" fillId="6" borderId="0" xfId="0" applyFill="1" applyProtection="1"/>
    <xf numFmtId="0" fontId="24" fillId="6" borderId="20" xfId="0" applyFont="1" applyFill="1" applyBorder="1" applyAlignment="1" applyProtection="1">
      <alignment horizontal="left" vertical="center"/>
    </xf>
    <xf numFmtId="0" fontId="24" fillId="6" borderId="17" xfId="0" applyFont="1" applyFill="1" applyBorder="1" applyAlignment="1" applyProtection="1">
      <alignment horizontal="left" vertical="center"/>
    </xf>
    <xf numFmtId="0" fontId="27" fillId="2" borderId="20" xfId="0" applyFont="1" applyFill="1" applyBorder="1" applyProtection="1"/>
    <xf numFmtId="0" fontId="23" fillId="9" borderId="1" xfId="0" applyFont="1" applyFill="1" applyBorder="1" applyAlignment="1" applyProtection="1">
      <alignment horizontal="left" vertical="center"/>
    </xf>
    <xf numFmtId="0" fontId="23" fillId="9" borderId="1" xfId="0" applyFont="1" applyFill="1" applyBorder="1" applyAlignment="1" applyProtection="1">
      <alignment vertical="center"/>
    </xf>
    <xf numFmtId="0" fontId="33" fillId="6" borderId="0" xfId="0" applyFont="1" applyFill="1" applyAlignment="1" applyProtection="1">
      <alignment horizontal="left" vertical="center" wrapText="1"/>
    </xf>
    <xf numFmtId="169" fontId="76" fillId="6" borderId="53" xfId="0" applyNumberFormat="1" applyFont="1" applyFill="1" applyBorder="1" applyAlignment="1" applyProtection="1">
      <alignment vertical="center"/>
      <protection locked="0"/>
    </xf>
    <xf numFmtId="0" fontId="33" fillId="6" borderId="0" xfId="0" applyFont="1" applyFill="1" applyAlignment="1" applyProtection="1">
      <alignment vertical="center" wrapText="1"/>
    </xf>
    <xf numFmtId="0" fontId="29" fillId="2" borderId="0" xfId="0" applyFont="1" applyFill="1" applyAlignment="1" applyProtection="1">
      <alignment horizontal="left" vertical="center"/>
    </xf>
    <xf numFmtId="0" fontId="26" fillId="2" borderId="0" xfId="0" applyFont="1" applyFill="1" applyBorder="1" applyAlignment="1" applyProtection="1">
      <alignment horizontal="left" vertical="center" wrapText="1"/>
    </xf>
    <xf numFmtId="0" fontId="27" fillId="0" borderId="0" xfId="5" applyFont="1" applyProtection="1">
      <protection locked="0"/>
    </xf>
    <xf numFmtId="0" fontId="27" fillId="0" borderId="0" xfId="5" applyFont="1" applyProtection="1"/>
    <xf numFmtId="0" fontId="28" fillId="0" borderId="0" xfId="5" applyFont="1" applyProtection="1">
      <protection locked="0"/>
    </xf>
    <xf numFmtId="0" fontId="28" fillId="0" borderId="0" xfId="5" applyFont="1" applyProtection="1"/>
    <xf numFmtId="0" fontId="28" fillId="0" borderId="0" xfId="5" applyFont="1" applyFill="1" applyBorder="1" applyProtection="1"/>
    <xf numFmtId="0" fontId="28" fillId="0" borderId="0" xfId="5" applyFont="1" applyAlignment="1" applyProtection="1">
      <alignment vertical="center"/>
      <protection locked="0"/>
    </xf>
    <xf numFmtId="0" fontId="27" fillId="8" borderId="0" xfId="5" applyFont="1" applyFill="1" applyAlignment="1" applyProtection="1">
      <alignment vertical="center"/>
    </xf>
    <xf numFmtId="0" fontId="27" fillId="0" borderId="0" xfId="5" applyFont="1"/>
    <xf numFmtId="0" fontId="65" fillId="0" borderId="0" xfId="5" applyFont="1" applyProtection="1"/>
    <xf numFmtId="0" fontId="27" fillId="0" borderId="0" xfId="5" applyFont="1" applyAlignment="1">
      <alignment vertical="center"/>
    </xf>
    <xf numFmtId="0" fontId="27" fillId="0" borderId="0" xfId="5" applyFont="1" applyBorder="1"/>
    <xf numFmtId="173" fontId="28" fillId="16" borderId="60" xfId="0" applyNumberFormat="1" applyFont="1" applyFill="1" applyBorder="1" applyAlignment="1" applyProtection="1">
      <alignment horizontal="center" vertical="center"/>
    </xf>
    <xf numFmtId="173" fontId="28" fillId="16" borderId="63" xfId="0" applyNumberFormat="1" applyFont="1" applyFill="1" applyBorder="1" applyAlignment="1" applyProtection="1">
      <alignment horizontal="center" vertical="center"/>
    </xf>
    <xf numFmtId="166" fontId="28" fillId="6" borderId="58" xfId="0" applyNumberFormat="1" applyFont="1" applyFill="1" applyBorder="1" applyAlignment="1" applyProtection="1">
      <alignment horizontal="right" vertical="center"/>
    </xf>
    <xf numFmtId="0" fontId="16" fillId="0" borderId="0" xfId="5"/>
    <xf numFmtId="0" fontId="32" fillId="0" borderId="0" xfId="0" applyFont="1" applyProtection="1">
      <protection locked="0"/>
    </xf>
    <xf numFmtId="0" fontId="32" fillId="0" borderId="0" xfId="0" applyFont="1" applyProtection="1"/>
    <xf numFmtId="0" fontId="84" fillId="8" borderId="0" xfId="0" applyFont="1" applyFill="1" applyBorder="1" applyAlignment="1" applyProtection="1">
      <alignment vertical="center"/>
      <protection locked="0"/>
    </xf>
    <xf numFmtId="0" fontId="32" fillId="2" borderId="0" xfId="0" applyFont="1" applyFill="1" applyAlignment="1" applyProtection="1">
      <alignment vertical="center"/>
    </xf>
    <xf numFmtId="0" fontId="31" fillId="2" borderId="0" xfId="0" applyFont="1" applyFill="1" applyAlignment="1" applyProtection="1">
      <alignment vertical="center"/>
    </xf>
    <xf numFmtId="0" fontId="31" fillId="0" borderId="0" xfId="0" applyFont="1" applyAlignment="1" applyProtection="1">
      <alignment vertical="center"/>
    </xf>
    <xf numFmtId="0" fontId="66" fillId="0" borderId="0" xfId="0" applyFont="1" applyAlignment="1" applyProtection="1">
      <alignment horizontal="left" vertical="center" wrapText="1"/>
    </xf>
    <xf numFmtId="0" fontId="29" fillId="0" borderId="0" xfId="0" applyFont="1" applyAlignment="1" applyProtection="1"/>
    <xf numFmtId="0" fontId="27" fillId="6" borderId="0" xfId="0" applyFont="1" applyFill="1" applyAlignment="1" applyProtection="1">
      <alignment vertical="center"/>
    </xf>
    <xf numFmtId="0" fontId="59" fillId="6" borderId="0" xfId="0" applyFont="1" applyFill="1" applyBorder="1" applyProtection="1"/>
    <xf numFmtId="0" fontId="29" fillId="6" borderId="13" xfId="0" applyFont="1" applyFill="1" applyBorder="1" applyAlignment="1" applyProtection="1"/>
    <xf numFmtId="0" fontId="29" fillId="6" borderId="16" xfId="0" applyFont="1" applyFill="1" applyBorder="1" applyAlignment="1" applyProtection="1"/>
    <xf numFmtId="0" fontId="28" fillId="6" borderId="16" xfId="0" applyFont="1" applyFill="1" applyBorder="1" applyAlignment="1" applyProtection="1">
      <alignment vertical="center"/>
    </xf>
    <xf numFmtId="0" fontId="28" fillId="6" borderId="6" xfId="0" applyFont="1" applyFill="1" applyBorder="1" applyAlignment="1" applyProtection="1">
      <alignment vertical="center"/>
    </xf>
    <xf numFmtId="167" fontId="24" fillId="6" borderId="0" xfId="0" applyNumberFormat="1" applyFont="1" applyFill="1" applyBorder="1" applyAlignment="1" applyProtection="1">
      <alignment horizontal="left" vertical="center" indent="1"/>
    </xf>
    <xf numFmtId="0" fontId="59" fillId="6" borderId="60" xfId="0" applyFont="1" applyFill="1" applyBorder="1" applyProtection="1"/>
    <xf numFmtId="0" fontId="24" fillId="6" borderId="0" xfId="0" applyFont="1" applyFill="1" applyBorder="1" applyAlignment="1" applyProtection="1">
      <alignment horizontal="left" vertical="center" wrapText="1" indent="1"/>
    </xf>
    <xf numFmtId="0" fontId="53" fillId="6" borderId="20" xfId="0" applyFont="1" applyFill="1" applyBorder="1" applyAlignment="1" applyProtection="1">
      <alignment horizontal="left" vertical="center" wrapText="1"/>
    </xf>
    <xf numFmtId="0" fontId="53" fillId="6" borderId="0" xfId="0" applyFont="1" applyFill="1" applyBorder="1" applyAlignment="1" applyProtection="1">
      <alignment horizontal="left" vertical="center" wrapText="1"/>
    </xf>
    <xf numFmtId="0" fontId="0" fillId="6" borderId="0" xfId="0" applyFill="1" applyAlignment="1" applyProtection="1"/>
    <xf numFmtId="0" fontId="27" fillId="0" borderId="0" xfId="0" applyFont="1" applyBorder="1" applyAlignment="1" applyProtection="1">
      <alignment vertical="center"/>
    </xf>
    <xf numFmtId="0" fontId="28" fillId="8" borderId="0" xfId="0" applyFont="1" applyFill="1" applyBorder="1" applyAlignment="1" applyProtection="1">
      <alignment vertical="center"/>
    </xf>
    <xf numFmtId="0" fontId="32" fillId="2" borderId="0" xfId="0" applyFont="1" applyFill="1" applyBorder="1" applyAlignment="1" applyProtection="1">
      <alignment vertical="center"/>
    </xf>
    <xf numFmtId="0" fontId="27" fillId="2" borderId="44" xfId="0" applyFont="1" applyFill="1" applyBorder="1" applyAlignment="1" applyProtection="1">
      <alignment vertical="center"/>
    </xf>
    <xf numFmtId="0" fontId="27" fillId="2" borderId="61" xfId="0" applyFont="1" applyFill="1" applyBorder="1" applyAlignment="1" applyProtection="1">
      <alignment vertical="center"/>
    </xf>
    <xf numFmtId="0" fontId="27" fillId="0" borderId="17" xfId="0" applyFont="1" applyBorder="1" applyAlignment="1" applyProtection="1">
      <alignment vertical="center"/>
    </xf>
    <xf numFmtId="165" fontId="27" fillId="0" borderId="0" xfId="1" applyNumberFormat="1" applyFont="1" applyAlignment="1" applyProtection="1">
      <alignment vertical="center"/>
    </xf>
    <xf numFmtId="0" fontId="26" fillId="0" borderId="0" xfId="0" applyFont="1" applyAlignment="1" applyProtection="1">
      <alignment horizontal="left" vertical="center"/>
    </xf>
    <xf numFmtId="0" fontId="26" fillId="0" borderId="0" xfId="0" applyFont="1" applyBorder="1" applyAlignment="1" applyProtection="1">
      <alignment horizontal="left" vertical="center"/>
    </xf>
    <xf numFmtId="0" fontId="26" fillId="0" borderId="0" xfId="0" applyFont="1" applyBorder="1" applyAlignment="1" applyProtection="1">
      <alignment vertical="center" wrapText="1"/>
    </xf>
    <xf numFmtId="0" fontId="27" fillId="0" borderId="0" xfId="0" applyFont="1" applyBorder="1" applyAlignment="1" applyProtection="1">
      <alignment wrapText="1"/>
    </xf>
    <xf numFmtId="0" fontId="27" fillId="0" borderId="1" xfId="0" applyFont="1" applyBorder="1" applyProtection="1"/>
    <xf numFmtId="0" fontId="27" fillId="0" borderId="0" xfId="0" applyFont="1" applyBorder="1" applyAlignment="1" applyProtection="1">
      <alignment horizontal="left" vertical="center"/>
    </xf>
    <xf numFmtId="0" fontId="27" fillId="0" borderId="0" xfId="0" applyFont="1" applyBorder="1" applyAlignment="1" applyProtection="1">
      <alignment horizontal="center"/>
    </xf>
    <xf numFmtId="0" fontId="27" fillId="0" borderId="0" xfId="0" applyFont="1" applyBorder="1" applyAlignment="1" applyProtection="1">
      <alignment horizontal="left"/>
    </xf>
    <xf numFmtId="0" fontId="27" fillId="0" borderId="0" xfId="0" applyFont="1" applyAlignment="1" applyProtection="1">
      <alignment horizontal="left" vertical="center"/>
    </xf>
    <xf numFmtId="0" fontId="27" fillId="0" borderId="0" xfId="0" applyFont="1" applyAlignment="1" applyProtection="1">
      <alignment horizontal="center"/>
    </xf>
    <xf numFmtId="0" fontId="35" fillId="15" borderId="0" xfId="8" applyFont="1" applyBorder="1" applyAlignment="1" applyProtection="1">
      <alignment wrapText="1"/>
    </xf>
    <xf numFmtId="0" fontId="27" fillId="6" borderId="0" xfId="0" applyFont="1" applyFill="1" applyBorder="1" applyAlignment="1" applyProtection="1">
      <alignment vertical="center"/>
    </xf>
    <xf numFmtId="0" fontId="26" fillId="0" borderId="0" xfId="0" applyFont="1" applyAlignment="1" applyProtection="1">
      <alignment horizontal="left" vertical="center" wrapText="1"/>
    </xf>
    <xf numFmtId="0" fontId="24" fillId="6" borderId="0" xfId="0" applyFont="1" applyFill="1" applyBorder="1" applyAlignment="1" applyProtection="1">
      <alignment vertical="center"/>
    </xf>
    <xf numFmtId="0" fontId="32" fillId="0" borderId="0" xfId="0" applyFont="1" applyAlignment="1" applyProtection="1">
      <alignment horizontal="left" vertical="center"/>
    </xf>
    <xf numFmtId="0" fontId="27" fillId="8" borderId="0" xfId="0" applyFont="1" applyFill="1" applyBorder="1" applyAlignment="1" applyProtection="1">
      <alignment vertical="center"/>
    </xf>
    <xf numFmtId="0" fontId="84" fillId="8" borderId="0" xfId="0" applyFont="1" applyFill="1" applyBorder="1" applyAlignment="1" applyProtection="1">
      <alignment vertical="center"/>
    </xf>
    <xf numFmtId="0" fontId="28" fillId="0" borderId="99" xfId="0" applyFont="1" applyFill="1" applyBorder="1" applyAlignment="1" applyProtection="1">
      <alignment horizontal="left" vertical="center" wrapText="1"/>
      <protection locked="0"/>
    </xf>
    <xf numFmtId="0" fontId="28" fillId="0" borderId="99" xfId="0" applyFont="1" applyBorder="1" applyAlignment="1" applyProtection="1">
      <alignment horizontal="center" vertical="center" wrapText="1"/>
      <protection locked="0"/>
    </xf>
    <xf numFmtId="0" fontId="34" fillId="0" borderId="0" xfId="0" applyFont="1" applyFill="1" applyBorder="1" applyAlignment="1" applyProtection="1">
      <alignment vertical="center"/>
    </xf>
    <xf numFmtId="0" fontId="27" fillId="2" borderId="33" xfId="0" applyFont="1" applyFill="1" applyBorder="1" applyAlignment="1" applyProtection="1">
      <alignment vertical="center"/>
    </xf>
    <xf numFmtId="0" fontId="32" fillId="2" borderId="33" xfId="0" applyFont="1" applyFill="1" applyBorder="1" applyAlignment="1" applyProtection="1">
      <alignment vertical="center"/>
    </xf>
    <xf numFmtId="0" fontId="27" fillId="2" borderId="7" xfId="0" applyFont="1" applyFill="1" applyBorder="1" applyAlignment="1" applyProtection="1">
      <alignment vertical="center"/>
    </xf>
    <xf numFmtId="0" fontId="27" fillId="2" borderId="10" xfId="0" applyFont="1" applyFill="1" applyBorder="1" applyAlignment="1" applyProtection="1">
      <alignment vertical="center"/>
    </xf>
    <xf numFmtId="0" fontId="32" fillId="2" borderId="10" xfId="0" applyFont="1" applyFill="1" applyBorder="1" applyAlignment="1" applyProtection="1">
      <alignment vertical="center"/>
    </xf>
    <xf numFmtId="0" fontId="27" fillId="2" borderId="67" xfId="0" applyFont="1" applyFill="1" applyBorder="1" applyAlignment="1" applyProtection="1">
      <alignment vertical="center"/>
    </xf>
    <xf numFmtId="0" fontId="27" fillId="2" borderId="40" xfId="0" applyFont="1" applyFill="1" applyBorder="1" applyAlignment="1" applyProtection="1">
      <alignment vertical="center"/>
    </xf>
    <xf numFmtId="0" fontId="27" fillId="2" borderId="11" xfId="0" applyFont="1" applyFill="1" applyBorder="1" applyAlignment="1" applyProtection="1">
      <alignment vertical="center"/>
    </xf>
    <xf numFmtId="0" fontId="27" fillId="18" borderId="33" xfId="0" applyFont="1" applyFill="1" applyBorder="1" applyAlignment="1" applyProtection="1">
      <alignment vertical="center"/>
    </xf>
    <xf numFmtId="0" fontId="27" fillId="18" borderId="0" xfId="0" applyFont="1" applyFill="1" applyBorder="1" applyAlignment="1" applyProtection="1">
      <alignment vertical="center"/>
    </xf>
    <xf numFmtId="0" fontId="29" fillId="4" borderId="100" xfId="0" applyFont="1" applyFill="1" applyBorder="1" applyAlignment="1" applyProtection="1">
      <alignment horizontal="center" vertical="center" wrapText="1"/>
    </xf>
    <xf numFmtId="0" fontId="27" fillId="0" borderId="44" xfId="0" applyFont="1" applyBorder="1" applyProtection="1"/>
    <xf numFmtId="0" fontId="27" fillId="0" borderId="7" xfId="0" applyFont="1" applyBorder="1" applyAlignment="1" applyProtection="1">
      <alignment wrapText="1"/>
    </xf>
    <xf numFmtId="0" fontId="27" fillId="0" borderId="10" xfId="0" applyFont="1" applyBorder="1" applyAlignment="1" applyProtection="1">
      <alignment wrapText="1"/>
    </xf>
    <xf numFmtId="0" fontId="27" fillId="0" borderId="10" xfId="0" applyFont="1" applyBorder="1" applyProtection="1"/>
    <xf numFmtId="0" fontId="27" fillId="0" borderId="10" xfId="0" applyFont="1" applyBorder="1" applyAlignment="1" applyProtection="1">
      <alignment horizontal="left" vertical="center"/>
    </xf>
    <xf numFmtId="0" fontId="27" fillId="0" borderId="10" xfId="0" applyFont="1" applyBorder="1" applyAlignment="1" applyProtection="1">
      <alignment horizontal="center"/>
    </xf>
    <xf numFmtId="0" fontId="27" fillId="0" borderId="67" xfId="0" applyFont="1" applyBorder="1" applyProtection="1"/>
    <xf numFmtId="0" fontId="32" fillId="0" borderId="0" xfId="0" applyFont="1" applyBorder="1" applyProtection="1"/>
    <xf numFmtId="0" fontId="27" fillId="6" borderId="10" xfId="0" applyFont="1" applyFill="1" applyBorder="1" applyAlignment="1" applyProtection="1">
      <alignment vertical="center"/>
    </xf>
    <xf numFmtId="0" fontId="68" fillId="3" borderId="58" xfId="0" applyFont="1" applyFill="1" applyBorder="1" applyAlignment="1" applyProtection="1">
      <alignment horizontal="center" vertical="center"/>
    </xf>
    <xf numFmtId="0" fontId="29" fillId="17" borderId="100" xfId="0" applyFont="1" applyFill="1" applyBorder="1" applyAlignment="1" applyProtection="1">
      <alignment horizontal="center" vertical="center" wrapText="1"/>
    </xf>
    <xf numFmtId="0" fontId="29" fillId="16" borderId="100" xfId="0" applyFont="1" applyFill="1" applyBorder="1" applyAlignment="1" applyProtection="1">
      <alignment horizontal="center" vertical="center" wrapText="1"/>
    </xf>
    <xf numFmtId="0" fontId="29" fillId="4" borderId="100" xfId="0" applyFont="1" applyFill="1" applyBorder="1" applyAlignment="1" applyProtection="1">
      <alignment horizontal="center" vertical="center" wrapText="1"/>
    </xf>
    <xf numFmtId="0" fontId="29" fillId="4" borderId="101" xfId="0" applyFont="1" applyFill="1" applyBorder="1" applyAlignment="1" applyProtection="1">
      <alignment horizontal="center" vertical="center"/>
    </xf>
    <xf numFmtId="167" fontId="24" fillId="8" borderId="1" xfId="0" applyNumberFormat="1" applyFont="1" applyFill="1" applyBorder="1" applyAlignment="1" applyProtection="1">
      <alignment horizontal="left" vertical="center" indent="1"/>
    </xf>
    <xf numFmtId="0" fontId="28" fillId="8" borderId="99" xfId="0" applyFont="1" applyFill="1" applyBorder="1" applyAlignment="1" applyProtection="1">
      <alignment horizontal="center" vertical="center" wrapText="1"/>
    </xf>
    <xf numFmtId="0" fontId="28" fillId="8" borderId="99" xfId="0" applyFont="1" applyFill="1" applyBorder="1" applyAlignment="1" applyProtection="1">
      <alignment vertical="center" wrapText="1"/>
    </xf>
    <xf numFmtId="49" fontId="28" fillId="8" borderId="99" xfId="0" applyNumberFormat="1" applyFont="1" applyFill="1" applyBorder="1" applyAlignment="1" applyProtection="1">
      <alignment horizontal="center" vertical="center" wrapText="1"/>
    </xf>
    <xf numFmtId="0" fontId="32" fillId="0" borderId="33" xfId="0" applyFont="1" applyBorder="1" applyProtection="1">
      <protection locked="0"/>
    </xf>
    <xf numFmtId="0" fontId="27" fillId="0" borderId="44" xfId="0" applyFont="1" applyBorder="1" applyProtection="1">
      <protection locked="0"/>
    </xf>
    <xf numFmtId="0" fontId="32" fillId="0" borderId="0" xfId="0" applyFont="1" applyBorder="1" applyProtection="1">
      <protection locked="0"/>
    </xf>
    <xf numFmtId="0" fontId="27" fillId="0" borderId="61" xfId="0" applyFont="1" applyBorder="1" applyProtection="1">
      <protection locked="0"/>
    </xf>
    <xf numFmtId="0" fontId="27" fillId="0" borderId="7" xfId="0" applyFont="1" applyBorder="1" applyAlignment="1" applyProtection="1">
      <alignment wrapText="1"/>
      <protection locked="0"/>
    </xf>
    <xf numFmtId="0" fontId="27" fillId="0" borderId="10" xfId="0" applyFont="1" applyBorder="1" applyProtection="1">
      <protection locked="0"/>
    </xf>
    <xf numFmtId="0" fontId="27" fillId="0" borderId="10" xfId="0" applyFont="1" applyBorder="1" applyAlignment="1" applyProtection="1">
      <alignment wrapText="1"/>
      <protection locked="0"/>
    </xf>
    <xf numFmtId="0" fontId="27" fillId="0" borderId="10" xfId="0" applyFont="1" applyBorder="1" applyAlignment="1" applyProtection="1">
      <alignment horizontal="center" vertical="center"/>
      <protection locked="0"/>
    </xf>
    <xf numFmtId="0" fontId="32" fillId="0" borderId="10" xfId="0" applyFont="1" applyBorder="1" applyProtection="1">
      <protection locked="0"/>
    </xf>
    <xf numFmtId="43" fontId="28" fillId="0" borderId="99" xfId="0" applyNumberFormat="1" applyFont="1" applyFill="1" applyBorder="1" applyAlignment="1" applyProtection="1">
      <alignment horizontal="center" vertical="center" wrapText="1"/>
    </xf>
    <xf numFmtId="43" fontId="28" fillId="0" borderId="99" xfId="0" applyNumberFormat="1" applyFont="1" applyFill="1" applyBorder="1" applyAlignment="1" applyProtection="1">
      <alignment horizontal="center" vertical="center" wrapText="1"/>
      <protection locked="0"/>
    </xf>
    <xf numFmtId="173" fontId="28" fillId="0" borderId="99" xfId="0" applyNumberFormat="1" applyFont="1" applyFill="1" applyBorder="1" applyAlignment="1" applyProtection="1">
      <alignment horizontal="center" vertical="center"/>
      <protection locked="0"/>
    </xf>
    <xf numFmtId="0" fontId="27" fillId="2" borderId="99" xfId="0" applyFont="1" applyFill="1" applyBorder="1" applyAlignment="1" applyProtection="1">
      <alignment vertical="center"/>
      <protection locked="0"/>
    </xf>
    <xf numFmtId="0" fontId="31" fillId="0" borderId="0" xfId="0" applyFont="1" applyBorder="1" applyAlignment="1" applyProtection="1">
      <alignment vertical="center"/>
    </xf>
    <xf numFmtId="0" fontId="31" fillId="0" borderId="33" xfId="0" applyFont="1" applyBorder="1" applyAlignment="1" applyProtection="1">
      <alignment vertical="center"/>
    </xf>
    <xf numFmtId="0" fontId="24" fillId="0" borderId="44" xfId="0" applyFont="1" applyBorder="1" applyAlignment="1" applyProtection="1">
      <alignment vertical="center"/>
    </xf>
    <xf numFmtId="0" fontId="24" fillId="0" borderId="61" xfId="0" applyFont="1" applyBorder="1" applyAlignment="1" applyProtection="1">
      <alignment vertical="center"/>
    </xf>
    <xf numFmtId="43" fontId="28" fillId="8" borderId="99" xfId="0" applyNumberFormat="1" applyFont="1" applyFill="1" applyBorder="1" applyAlignment="1" applyProtection="1">
      <alignment horizontal="center" vertical="center" wrapText="1"/>
    </xf>
    <xf numFmtId="0" fontId="27" fillId="2" borderId="61" xfId="0" applyFont="1" applyFill="1" applyBorder="1" applyProtection="1"/>
    <xf numFmtId="0" fontId="27" fillId="6" borderId="10" xfId="0" applyFont="1" applyFill="1" applyBorder="1" applyProtection="1"/>
    <xf numFmtId="0" fontId="27" fillId="6" borderId="67" xfId="0" applyFont="1" applyFill="1" applyBorder="1" applyProtection="1"/>
    <xf numFmtId="0" fontId="28" fillId="2" borderId="67" xfId="0" applyFont="1" applyFill="1" applyBorder="1" applyProtection="1"/>
    <xf numFmtId="0" fontId="27" fillId="2" borderId="67" xfId="0" applyFont="1" applyFill="1" applyBorder="1" applyProtection="1"/>
    <xf numFmtId="0" fontId="28" fillId="18" borderId="0" xfId="0" applyFont="1" applyFill="1" applyBorder="1" applyProtection="1"/>
    <xf numFmtId="0" fontId="29" fillId="16" borderId="99" xfId="0" applyFont="1" applyFill="1" applyBorder="1" applyAlignment="1" applyProtection="1">
      <alignment horizontal="center" vertical="center"/>
    </xf>
    <xf numFmtId="0" fontId="31" fillId="2" borderId="0" xfId="0" applyFont="1" applyFill="1" applyBorder="1" applyAlignment="1" applyProtection="1">
      <alignment horizontal="left" vertical="center" wrapText="1"/>
    </xf>
    <xf numFmtId="0" fontId="63" fillId="0" borderId="0" xfId="0" applyFont="1" applyAlignment="1" applyProtection="1">
      <alignment horizontal="left" vertical="center" wrapText="1"/>
    </xf>
    <xf numFmtId="0" fontId="33" fillId="9" borderId="0" xfId="0" applyFont="1" applyFill="1" applyBorder="1" applyAlignment="1" applyProtection="1">
      <alignment horizontal="left" vertical="center"/>
    </xf>
    <xf numFmtId="0" fontId="24" fillId="0" borderId="82" xfId="0" applyFont="1" applyFill="1" applyBorder="1" applyAlignment="1" applyProtection="1">
      <alignment horizontal="left" vertical="center" wrapText="1"/>
      <protection locked="0"/>
    </xf>
    <xf numFmtId="0" fontId="24" fillId="0" borderId="87" xfId="0" applyFont="1" applyFill="1" applyBorder="1" applyAlignment="1" applyProtection="1">
      <alignment horizontal="left" vertical="center" wrapText="1"/>
      <protection locked="0"/>
    </xf>
    <xf numFmtId="0" fontId="24" fillId="0" borderId="52" xfId="0" applyFont="1" applyBorder="1" applyAlignment="1" applyProtection="1">
      <alignment horizontal="left" vertical="center" wrapText="1"/>
      <protection locked="0"/>
    </xf>
    <xf numFmtId="0" fontId="24" fillId="0" borderId="80" xfId="0" applyFont="1" applyFill="1" applyBorder="1" applyAlignment="1" applyProtection="1">
      <alignment horizontal="left" vertical="center" wrapText="1"/>
      <protection locked="0"/>
    </xf>
    <xf numFmtId="0" fontId="45" fillId="2" borderId="0" xfId="0" applyFont="1" applyFill="1" applyBorder="1" applyAlignment="1" applyProtection="1">
      <alignment horizontal="left" vertical="center" wrapText="1"/>
    </xf>
    <xf numFmtId="0" fontId="29" fillId="0" borderId="0" xfId="0" applyFont="1" applyFill="1" applyBorder="1" applyAlignment="1" applyProtection="1">
      <alignment horizontal="left" vertical="top" wrapText="1"/>
    </xf>
    <xf numFmtId="0" fontId="23" fillId="0" borderId="82" xfId="0" applyFont="1" applyFill="1" applyBorder="1" applyAlignment="1" applyProtection="1">
      <alignment horizontal="left" vertical="center" wrapText="1"/>
      <protection locked="0"/>
    </xf>
    <xf numFmtId="0" fontId="23" fillId="0" borderId="16" xfId="0" applyFont="1" applyFill="1" applyBorder="1" applyAlignment="1" applyProtection="1">
      <alignment horizontal="left" vertical="center" wrapText="1"/>
      <protection locked="0"/>
    </xf>
    <xf numFmtId="0" fontId="23" fillId="0" borderId="87" xfId="0" applyFont="1" applyFill="1" applyBorder="1" applyAlignment="1" applyProtection="1">
      <alignment horizontal="left" vertical="center" wrapText="1"/>
      <protection locked="0"/>
    </xf>
    <xf numFmtId="0" fontId="24" fillId="2" borderId="50" xfId="0" applyFont="1" applyFill="1" applyBorder="1" applyAlignment="1" applyProtection="1">
      <alignment horizontal="left" vertical="center" wrapText="1"/>
      <protection locked="0"/>
    </xf>
    <xf numFmtId="0" fontId="24" fillId="6" borderId="0" xfId="0" applyFont="1" applyFill="1" applyBorder="1" applyAlignment="1" applyProtection="1">
      <alignment horizontal="left" vertical="center" wrapText="1"/>
      <protection locked="0"/>
    </xf>
    <xf numFmtId="0" fontId="24" fillId="2" borderId="52" xfId="0" applyFont="1" applyFill="1" applyBorder="1" applyAlignment="1" applyProtection="1">
      <alignment horizontal="left" vertical="center" wrapText="1"/>
      <protection locked="0"/>
    </xf>
    <xf numFmtId="0" fontId="24" fillId="2" borderId="0" xfId="0" applyFont="1" applyFill="1" applyBorder="1" applyAlignment="1" applyProtection="1">
      <alignment horizontal="left" vertical="center" wrapText="1"/>
      <protection locked="0"/>
    </xf>
    <xf numFmtId="0" fontId="23" fillId="0" borderId="35" xfId="0" applyFont="1" applyFill="1" applyBorder="1" applyAlignment="1" applyProtection="1">
      <alignment horizontal="left" vertical="center" wrapText="1"/>
      <protection locked="0"/>
    </xf>
    <xf numFmtId="0" fontId="24" fillId="0" borderId="0" xfId="0" applyFont="1" applyBorder="1" applyAlignment="1" applyProtection="1">
      <alignment horizontal="left" vertical="center" wrapText="1"/>
      <protection locked="0"/>
    </xf>
    <xf numFmtId="0" fontId="24" fillId="0" borderId="0" xfId="0" applyFont="1" applyFill="1" applyBorder="1" applyAlignment="1" applyProtection="1">
      <alignment horizontal="left" vertical="center" wrapText="1"/>
      <protection locked="0"/>
    </xf>
    <xf numFmtId="0" fontId="24" fillId="0" borderId="10" xfId="0" applyFont="1" applyFill="1" applyBorder="1" applyAlignment="1" applyProtection="1">
      <alignment horizontal="left" vertical="center" wrapText="1"/>
      <protection locked="0"/>
    </xf>
    <xf numFmtId="0" fontId="29" fillId="17" borderId="55" xfId="0" applyFont="1" applyFill="1" applyBorder="1" applyAlignment="1" applyProtection="1">
      <alignment horizontal="center" vertical="center" wrapText="1"/>
    </xf>
    <xf numFmtId="0" fontId="29" fillId="17" borderId="75" xfId="0" applyFont="1" applyFill="1" applyBorder="1" applyAlignment="1" applyProtection="1">
      <alignment horizontal="center" vertical="center" wrapText="1"/>
    </xf>
    <xf numFmtId="0" fontId="28" fillId="0" borderId="39" xfId="0" applyFont="1" applyFill="1" applyBorder="1" applyAlignment="1" applyProtection="1">
      <alignment horizontal="center" vertical="center" wrapText="1"/>
      <protection locked="0"/>
    </xf>
    <xf numFmtId="0" fontId="28" fillId="2" borderId="83" xfId="0" applyFont="1" applyFill="1" applyBorder="1" applyAlignment="1" applyProtection="1">
      <alignment horizontal="left" vertical="center" wrapText="1"/>
      <protection locked="0"/>
    </xf>
    <xf numFmtId="0" fontId="24" fillId="2" borderId="98" xfId="0" applyFont="1" applyFill="1" applyBorder="1" applyAlignment="1" applyProtection="1">
      <alignment horizontal="left" vertical="center" wrapText="1"/>
      <protection locked="0"/>
    </xf>
    <xf numFmtId="0" fontId="28" fillId="2" borderId="1" xfId="0" applyFont="1" applyFill="1" applyBorder="1" applyAlignment="1" applyProtection="1">
      <alignment vertical="center" wrapText="1"/>
      <protection locked="0"/>
    </xf>
    <xf numFmtId="0" fontId="28" fillId="0" borderId="4" xfId="0" applyFont="1" applyFill="1" applyBorder="1" applyAlignment="1" applyProtection="1">
      <alignment horizontal="center" wrapText="1"/>
      <protection locked="0"/>
    </xf>
    <xf numFmtId="0" fontId="29" fillId="20" borderId="33" xfId="0" applyFont="1" applyFill="1" applyBorder="1" applyAlignment="1" applyProtection="1">
      <alignment vertical="center" wrapText="1"/>
    </xf>
    <xf numFmtId="0" fontId="29" fillId="20" borderId="0" xfId="0" applyFont="1" applyFill="1" applyBorder="1" applyAlignment="1" applyProtection="1">
      <alignment vertical="center" wrapText="1"/>
    </xf>
    <xf numFmtId="0" fontId="27" fillId="2" borderId="0" xfId="0" applyFont="1" applyFill="1" applyBorder="1" applyAlignment="1" applyProtection="1">
      <alignment vertical="center" wrapText="1"/>
    </xf>
    <xf numFmtId="0" fontId="27" fillId="2" borderId="61" xfId="0" applyFont="1" applyFill="1" applyBorder="1" applyAlignment="1" applyProtection="1">
      <alignment vertical="center" wrapText="1"/>
    </xf>
    <xf numFmtId="0" fontId="32" fillId="0" borderId="0" xfId="0" applyFont="1" applyBorder="1" applyAlignment="1" applyProtection="1">
      <alignment wrapText="1"/>
    </xf>
    <xf numFmtId="0" fontId="28" fillId="8" borderId="102" xfId="0" applyFont="1" applyFill="1" applyBorder="1" applyAlignment="1" applyProtection="1">
      <alignment horizontal="left" vertical="center" wrapText="1"/>
    </xf>
    <xf numFmtId="0" fontId="32" fillId="0" borderId="0" xfId="0" applyFont="1" applyBorder="1" applyAlignment="1" applyProtection="1">
      <protection locked="0"/>
    </xf>
    <xf numFmtId="0" fontId="27" fillId="0" borderId="61" xfId="0" applyFont="1" applyBorder="1" applyAlignment="1" applyProtection="1">
      <protection locked="0"/>
    </xf>
    <xf numFmtId="0" fontId="43" fillId="16" borderId="33" xfId="0" applyFont="1" applyFill="1" applyBorder="1" applyAlignment="1" applyProtection="1">
      <alignment horizontal="center" vertical="center" wrapText="1"/>
    </xf>
    <xf numFmtId="0" fontId="29" fillId="16" borderId="100" xfId="0" applyFont="1" applyFill="1" applyBorder="1" applyAlignment="1" applyProtection="1">
      <alignment horizontal="center" vertical="center" wrapText="1"/>
    </xf>
    <xf numFmtId="0" fontId="29" fillId="4" borderId="99" xfId="0" applyFont="1" applyFill="1" applyBorder="1" applyAlignment="1" applyProtection="1">
      <alignment horizontal="center" vertical="center"/>
    </xf>
    <xf numFmtId="0" fontId="24" fillId="0" borderId="45" xfId="0" applyFont="1" applyFill="1" applyBorder="1" applyAlignment="1" applyProtection="1">
      <alignment horizontal="left" vertical="center" wrapText="1"/>
      <protection locked="0"/>
    </xf>
    <xf numFmtId="0" fontId="23" fillId="6" borderId="10" xfId="0" applyFont="1" applyFill="1" applyBorder="1" applyAlignment="1" applyProtection="1">
      <alignment horizontal="center" vertical="center" wrapText="1"/>
      <protection locked="0"/>
    </xf>
    <xf numFmtId="0" fontId="24" fillId="0" borderId="16" xfId="0" applyFont="1" applyFill="1" applyBorder="1" applyAlignment="1" applyProtection="1">
      <alignment horizontal="left" vertical="center" wrapText="1"/>
      <protection locked="0"/>
    </xf>
    <xf numFmtId="0" fontId="24" fillId="0" borderId="35" xfId="0" applyFont="1" applyFill="1" applyBorder="1" applyAlignment="1" applyProtection="1">
      <alignment horizontal="left" vertical="center" wrapText="1"/>
      <protection locked="0"/>
    </xf>
    <xf numFmtId="0" fontId="28" fillId="0" borderId="109" xfId="0" applyFont="1" applyBorder="1" applyAlignment="1" applyProtection="1">
      <alignment horizontal="center" vertical="center" wrapText="1"/>
      <protection locked="0"/>
    </xf>
    <xf numFmtId="0" fontId="32" fillId="2" borderId="0" xfId="0" applyFont="1" applyFill="1" applyBorder="1" applyAlignment="1" applyProtection="1">
      <alignment vertical="center"/>
      <protection locked="0"/>
    </xf>
    <xf numFmtId="0" fontId="27" fillId="2" borderId="0" xfId="0" applyFont="1" applyFill="1" applyBorder="1" applyAlignment="1" applyProtection="1">
      <alignment vertical="center"/>
      <protection locked="0"/>
    </xf>
    <xf numFmtId="0" fontId="31" fillId="2" borderId="0" xfId="0" applyFont="1" applyFill="1" applyBorder="1" applyAlignment="1" applyProtection="1">
      <alignment vertical="center"/>
    </xf>
    <xf numFmtId="0" fontId="32" fillId="2" borderId="0" xfId="0" applyFont="1" applyFill="1" applyBorder="1" applyProtection="1"/>
    <xf numFmtId="0" fontId="84" fillId="2" borderId="0" xfId="0" applyFont="1" applyFill="1" applyBorder="1" applyProtection="1"/>
    <xf numFmtId="0" fontId="32" fillId="6" borderId="0" xfId="0" applyFont="1" applyFill="1" applyBorder="1" applyProtection="1"/>
    <xf numFmtId="0" fontId="32" fillId="2" borderId="0" xfId="0" applyFont="1" applyFill="1" applyBorder="1" applyAlignment="1" applyProtection="1"/>
    <xf numFmtId="0" fontId="28" fillId="0" borderId="113" xfId="0" applyFont="1" applyBorder="1" applyAlignment="1" applyProtection="1">
      <alignment horizontal="left" vertical="center" wrapText="1"/>
      <protection locked="0"/>
    </xf>
    <xf numFmtId="0" fontId="32" fillId="0" borderId="61" xfId="0" applyFont="1" applyBorder="1" applyProtection="1"/>
    <xf numFmtId="0" fontId="32" fillId="0" borderId="61" xfId="0" applyFont="1" applyBorder="1" applyAlignment="1" applyProtection="1">
      <alignment wrapText="1"/>
    </xf>
    <xf numFmtId="0" fontId="32" fillId="0" borderId="33" xfId="0" applyFont="1" applyBorder="1" applyProtection="1"/>
    <xf numFmtId="0" fontId="32" fillId="0" borderId="10" xfId="0" applyFont="1" applyBorder="1" applyProtection="1"/>
    <xf numFmtId="0" fontId="32" fillId="8" borderId="0" xfId="0" applyFont="1" applyFill="1" applyAlignment="1" applyProtection="1">
      <alignment vertical="center"/>
    </xf>
    <xf numFmtId="0" fontId="31" fillId="2" borderId="33" xfId="0" applyFont="1" applyFill="1" applyBorder="1" applyAlignment="1" applyProtection="1">
      <alignment vertical="center"/>
    </xf>
    <xf numFmtId="0" fontId="32" fillId="2" borderId="61" xfId="0" applyFont="1" applyFill="1" applyBorder="1" applyAlignment="1" applyProtection="1">
      <alignment vertical="center"/>
    </xf>
    <xf numFmtId="0" fontId="32" fillId="0" borderId="67" xfId="0" applyFont="1" applyBorder="1" applyProtection="1">
      <protection locked="0"/>
    </xf>
    <xf numFmtId="0" fontId="27" fillId="0" borderId="41" xfId="0" applyFont="1" applyBorder="1" applyProtection="1">
      <protection locked="0"/>
    </xf>
    <xf numFmtId="0" fontId="27" fillId="6" borderId="61" xfId="0" applyFont="1" applyFill="1" applyBorder="1" applyProtection="1"/>
    <xf numFmtId="0" fontId="32" fillId="2" borderId="10" xfId="0" applyFont="1" applyFill="1" applyBorder="1" applyProtection="1"/>
    <xf numFmtId="0" fontId="29" fillId="4" borderId="100" xfId="0" applyFont="1" applyFill="1" applyBorder="1" applyAlignment="1" applyProtection="1">
      <alignment horizontal="center" vertical="center" wrapText="1"/>
    </xf>
    <xf numFmtId="177" fontId="28" fillId="0" borderId="99" xfId="0" applyNumberFormat="1" applyFont="1" applyBorder="1" applyAlignment="1" applyProtection="1">
      <alignment horizontal="center" vertical="center" wrapText="1"/>
      <protection locked="0"/>
    </xf>
    <xf numFmtId="177" fontId="28" fillId="6" borderId="99" xfId="0" applyNumberFormat="1" applyFont="1" applyFill="1" applyBorder="1" applyAlignment="1" applyProtection="1">
      <alignment horizontal="center" vertical="center" wrapText="1"/>
      <protection locked="0"/>
    </xf>
    <xf numFmtId="173" fontId="28" fillId="8" borderId="99" xfId="0" applyNumberFormat="1" applyFont="1" applyFill="1" applyBorder="1" applyAlignment="1" applyProtection="1">
      <alignment horizontal="center" vertical="center" wrapText="1"/>
    </xf>
    <xf numFmtId="0" fontId="32" fillId="2" borderId="0" xfId="0" applyFont="1" applyFill="1" applyProtection="1">
      <protection hidden="1"/>
    </xf>
    <xf numFmtId="0" fontId="32" fillId="2" borderId="0" xfId="0" applyFont="1" applyFill="1" applyProtection="1"/>
    <xf numFmtId="0" fontId="28" fillId="2" borderId="61" xfId="0" applyFont="1" applyFill="1" applyBorder="1" applyProtection="1"/>
    <xf numFmtId="0" fontId="29" fillId="4" borderId="114" xfId="0" applyFont="1" applyFill="1" applyBorder="1" applyAlignment="1" applyProtection="1">
      <alignment horizontal="center" vertical="center" wrapText="1"/>
    </xf>
    <xf numFmtId="0" fontId="29" fillId="21" borderId="114" xfId="0" applyFont="1" applyFill="1" applyBorder="1" applyAlignment="1" applyProtection="1">
      <alignment vertical="center" wrapText="1"/>
    </xf>
    <xf numFmtId="0" fontId="29" fillId="11" borderId="114" xfId="0" applyFont="1" applyFill="1" applyBorder="1" applyAlignment="1" applyProtection="1">
      <alignment horizontal="center" vertical="center" wrapText="1"/>
    </xf>
    <xf numFmtId="0" fontId="29" fillId="20" borderId="114" xfId="0" applyFont="1" applyFill="1" applyBorder="1" applyAlignment="1" applyProtection="1">
      <alignment vertical="center" wrapText="1"/>
    </xf>
    <xf numFmtId="0" fontId="29" fillId="17" borderId="114" xfId="0" applyFont="1" applyFill="1" applyBorder="1" applyAlignment="1" applyProtection="1">
      <alignment horizontal="center" vertical="center" wrapText="1"/>
    </xf>
    <xf numFmtId="0" fontId="27" fillId="2" borderId="114" xfId="0" applyFont="1" applyFill="1" applyBorder="1" applyAlignment="1" applyProtection="1">
      <alignment vertical="center"/>
    </xf>
    <xf numFmtId="0" fontId="32" fillId="2" borderId="114" xfId="0" applyFont="1" applyFill="1" applyBorder="1" applyAlignment="1" applyProtection="1">
      <alignment vertical="center"/>
    </xf>
    <xf numFmtId="0" fontId="28" fillId="0" borderId="114" xfId="0" applyFont="1" applyFill="1" applyBorder="1" applyAlignment="1" applyProtection="1">
      <alignment horizontal="center" vertical="center" wrapText="1"/>
      <protection locked="0"/>
    </xf>
    <xf numFmtId="0" fontId="28" fillId="0" borderId="114" xfId="0" applyFont="1" applyBorder="1" applyAlignment="1" applyProtection="1">
      <alignment horizontal="left" vertical="center" wrapText="1"/>
      <protection locked="0"/>
    </xf>
    <xf numFmtId="0" fontId="28" fillId="2" borderId="114" xfId="0" applyFont="1" applyFill="1" applyBorder="1" applyProtection="1"/>
    <xf numFmtId="0" fontId="84" fillId="2" borderId="114" xfId="0" applyFont="1" applyFill="1" applyBorder="1" applyProtection="1"/>
    <xf numFmtId="0" fontId="27" fillId="2" borderId="33" xfId="0" applyFont="1" applyFill="1" applyBorder="1" applyProtection="1"/>
    <xf numFmtId="0" fontId="32" fillId="2" borderId="33" xfId="0" applyFont="1" applyFill="1" applyBorder="1" applyProtection="1"/>
    <xf numFmtId="0" fontId="85" fillId="2" borderId="0" xfId="0" applyFont="1" applyFill="1" applyBorder="1" applyProtection="1"/>
    <xf numFmtId="0" fontId="40" fillId="2" borderId="0" xfId="0" applyFont="1" applyFill="1" applyBorder="1" applyProtection="1"/>
    <xf numFmtId="0" fontId="86" fillId="2" borderId="0" xfId="0" applyFont="1" applyFill="1" applyBorder="1" applyProtection="1"/>
    <xf numFmtId="0" fontId="87" fillId="2" borderId="0" xfId="0" applyFont="1" applyFill="1" applyBorder="1" applyAlignment="1" applyProtection="1">
      <alignment horizontal="left"/>
    </xf>
    <xf numFmtId="0" fontId="40" fillId="2" borderId="44" xfId="0" applyFont="1" applyFill="1" applyBorder="1" applyProtection="1"/>
    <xf numFmtId="0" fontId="40" fillId="2" borderId="67" xfId="0" applyFont="1" applyFill="1" applyBorder="1" applyProtection="1"/>
    <xf numFmtId="0" fontId="40" fillId="2" borderId="61" xfId="0" applyFont="1" applyFill="1" applyBorder="1" applyProtection="1"/>
    <xf numFmtId="0" fontId="40" fillId="2" borderId="33" xfId="0" applyFont="1" applyFill="1" applyBorder="1" applyProtection="1"/>
    <xf numFmtId="0" fontId="48" fillId="0" borderId="0" xfId="0" applyFont="1" applyFill="1" applyBorder="1" applyAlignment="1" applyProtection="1">
      <alignment vertical="center"/>
    </xf>
    <xf numFmtId="0" fontId="49" fillId="0" borderId="0" xfId="0" applyFont="1" applyFill="1" applyBorder="1" applyAlignment="1" applyProtection="1">
      <alignment vertical="center"/>
    </xf>
    <xf numFmtId="0" fontId="27" fillId="2" borderId="44" xfId="0" applyFont="1" applyFill="1" applyBorder="1" applyAlignment="1" applyProtection="1"/>
    <xf numFmtId="0" fontId="27" fillId="2" borderId="61" xfId="0" applyFont="1" applyFill="1" applyBorder="1" applyAlignment="1" applyProtection="1"/>
    <xf numFmtId="0" fontId="24" fillId="0" borderId="10" xfId="0" applyFont="1" applyFill="1" applyBorder="1" applyAlignment="1" applyProtection="1">
      <alignment horizontal="left" vertical="center" wrapText="1"/>
    </xf>
    <xf numFmtId="0" fontId="24" fillId="2" borderId="10" xfId="0" applyFont="1" applyFill="1" applyBorder="1" applyAlignment="1" applyProtection="1">
      <alignment horizontal="left" vertical="center" wrapText="1"/>
    </xf>
    <xf numFmtId="0" fontId="31" fillId="2" borderId="10" xfId="0" applyFont="1" applyFill="1" applyBorder="1" applyAlignment="1" applyProtection="1">
      <alignment horizontal="left" vertical="center" wrapText="1"/>
    </xf>
    <xf numFmtId="0" fontId="24" fillId="2" borderId="67" xfId="0" applyFont="1" applyFill="1" applyBorder="1" applyAlignment="1" applyProtection="1">
      <alignment horizontal="left" vertical="center" wrapText="1"/>
    </xf>
    <xf numFmtId="0" fontId="29" fillId="16" borderId="0" xfId="0" applyFont="1" applyFill="1" applyBorder="1" applyAlignment="1" applyProtection="1">
      <alignment horizontal="center" vertical="center" wrapText="1"/>
    </xf>
    <xf numFmtId="0" fontId="28" fillId="0" borderId="115" xfId="0" applyFont="1" applyFill="1" applyBorder="1" applyAlignment="1" applyProtection="1">
      <alignment horizontal="center" vertical="center" wrapText="1"/>
      <protection locked="0"/>
    </xf>
    <xf numFmtId="0" fontId="29" fillId="11" borderId="0" xfId="0" applyFont="1" applyFill="1" applyBorder="1" applyAlignment="1" applyProtection="1">
      <alignment horizontal="center" vertical="center" wrapText="1"/>
    </xf>
    <xf numFmtId="0" fontId="24" fillId="2" borderId="10" xfId="0" applyFont="1" applyFill="1" applyBorder="1" applyAlignment="1" applyProtection="1">
      <alignment horizontal="left" vertical="center" wrapText="1"/>
      <protection locked="0"/>
    </xf>
    <xf numFmtId="0" fontId="29" fillId="16" borderId="115" xfId="0" applyFont="1" applyFill="1" applyBorder="1" applyAlignment="1" applyProtection="1">
      <alignment horizontal="center" vertical="center" wrapText="1"/>
    </xf>
    <xf numFmtId="0" fontId="29" fillId="17" borderId="83" xfId="0" applyFont="1" applyFill="1" applyBorder="1" applyAlignment="1" applyProtection="1">
      <alignment horizontal="center" vertical="center" wrapText="1"/>
    </xf>
    <xf numFmtId="0" fontId="29" fillId="17" borderId="39" xfId="0" applyFont="1" applyFill="1" applyBorder="1" applyAlignment="1" applyProtection="1">
      <alignment vertical="center" wrapText="1"/>
    </xf>
    <xf numFmtId="0" fontId="29" fillId="17" borderId="76" xfId="0" applyFont="1" applyFill="1" applyBorder="1" applyAlignment="1" applyProtection="1">
      <alignment horizontal="center" vertical="center"/>
    </xf>
    <xf numFmtId="0" fontId="27" fillId="6" borderId="0" xfId="0" applyFont="1" applyFill="1" applyBorder="1" applyAlignment="1"/>
    <xf numFmtId="0" fontId="29" fillId="16" borderId="36" xfId="0" applyFont="1" applyFill="1" applyBorder="1" applyAlignment="1" applyProtection="1">
      <alignment horizontal="center" vertical="center"/>
      <protection locked="0"/>
    </xf>
    <xf numFmtId="167" fontId="28" fillId="0" borderId="115" xfId="0" applyNumberFormat="1" applyFont="1" applyFill="1" applyBorder="1" applyAlignment="1" applyProtection="1">
      <alignment horizontal="center" vertical="center" wrapText="1"/>
      <protection locked="0"/>
    </xf>
    <xf numFmtId="0" fontId="23" fillId="6" borderId="0" xfId="0" applyFont="1" applyFill="1" applyBorder="1" applyAlignment="1" applyProtection="1">
      <alignment horizontal="left" vertical="center" wrapText="1"/>
      <protection locked="0"/>
    </xf>
    <xf numFmtId="0" fontId="32" fillId="0" borderId="0" xfId="5" applyFont="1" applyProtection="1"/>
    <xf numFmtId="0" fontId="32" fillId="8" borderId="0" xfId="5" applyFont="1" applyFill="1" applyAlignment="1" applyProtection="1">
      <alignment vertical="center"/>
    </xf>
    <xf numFmtId="0" fontId="84" fillId="0" borderId="0" xfId="5" applyFont="1" applyProtection="1">
      <protection locked="0"/>
    </xf>
    <xf numFmtId="0" fontId="84" fillId="0" borderId="0" xfId="5" applyFont="1" applyAlignment="1" applyProtection="1">
      <alignment vertical="center"/>
      <protection locked="0"/>
    </xf>
    <xf numFmtId="0" fontId="32" fillId="0" borderId="0" xfId="5" applyFont="1" applyProtection="1">
      <protection locked="0"/>
    </xf>
    <xf numFmtId="0" fontId="32" fillId="0" borderId="0" xfId="5" applyFont="1"/>
    <xf numFmtId="0" fontId="65" fillId="9" borderId="99" xfId="5" applyFont="1" applyFill="1" applyBorder="1" applyAlignment="1" applyProtection="1">
      <alignment vertical="center"/>
    </xf>
    <xf numFmtId="174" fontId="24" fillId="12" borderId="99" xfId="5" applyNumberFormat="1" applyFont="1" applyFill="1" applyBorder="1" applyAlignment="1" applyProtection="1">
      <alignment vertical="center"/>
    </xf>
    <xf numFmtId="174" fontId="24" fillId="13" borderId="99" xfId="5" applyNumberFormat="1" applyFont="1" applyFill="1" applyBorder="1" applyAlignment="1" applyProtection="1">
      <alignment vertical="center"/>
      <protection locked="0"/>
    </xf>
    <xf numFmtId="170" fontId="24" fillId="12" borderId="99" xfId="10" applyNumberFormat="1" applyFont="1" applyFill="1" applyBorder="1" applyAlignment="1" applyProtection="1">
      <alignment vertical="center"/>
    </xf>
    <xf numFmtId="174" fontId="23" fillId="12" borderId="99" xfId="5" applyNumberFormat="1" applyFont="1" applyFill="1" applyBorder="1" applyAlignment="1" applyProtection="1">
      <alignment vertical="center"/>
    </xf>
    <xf numFmtId="170" fontId="23" fillId="12" borderId="99" xfId="10" applyNumberFormat="1" applyFont="1" applyFill="1" applyBorder="1" applyAlignment="1" applyProtection="1">
      <alignment vertical="center"/>
    </xf>
    <xf numFmtId="0" fontId="28" fillId="13" borderId="99" xfId="5" applyFont="1" applyFill="1" applyBorder="1" applyAlignment="1" applyProtection="1">
      <alignment vertical="top"/>
      <protection locked="0"/>
    </xf>
    <xf numFmtId="174" fontId="28" fillId="13" borderId="99" xfId="5" applyNumberFormat="1" applyFont="1" applyFill="1" applyBorder="1" applyAlignment="1" applyProtection="1">
      <alignment vertical="center"/>
      <protection locked="0"/>
    </xf>
    <xf numFmtId="174" fontId="28" fillId="12" borderId="99" xfId="5" applyNumberFormat="1" applyFont="1" applyFill="1" applyBorder="1" applyAlignment="1" applyProtection="1">
      <alignment vertical="center"/>
    </xf>
    <xf numFmtId="170" fontId="28" fillId="12" borderId="99" xfId="10" applyNumberFormat="1" applyFont="1" applyFill="1" applyBorder="1" applyAlignment="1" applyProtection="1">
      <alignment vertical="center"/>
    </xf>
    <xf numFmtId="174" fontId="29" fillId="12" borderId="99" xfId="5" applyNumberFormat="1" applyFont="1" applyFill="1" applyBorder="1" applyAlignment="1" applyProtection="1">
      <alignment vertical="center"/>
    </xf>
    <xf numFmtId="170" fontId="29" fillId="12" borderId="99" xfId="10" applyNumberFormat="1" applyFont="1" applyFill="1" applyBorder="1" applyAlignment="1" applyProtection="1">
      <alignment vertical="center"/>
    </xf>
    <xf numFmtId="0" fontId="29" fillId="21" borderId="99" xfId="0" applyFont="1" applyFill="1" applyBorder="1" applyAlignment="1" applyProtection="1">
      <alignment vertical="center" wrapText="1"/>
    </xf>
    <xf numFmtId="0" fontId="63" fillId="0" borderId="0" xfId="5" applyFont="1" applyBorder="1" applyAlignment="1" applyProtection="1">
      <alignment horizontal="left" vertical="center" wrapText="1"/>
    </xf>
    <xf numFmtId="0" fontId="27" fillId="0" borderId="40" xfId="5" applyFont="1" applyBorder="1" applyProtection="1"/>
    <xf numFmtId="0" fontId="27" fillId="0" borderId="33" xfId="5" applyFont="1" applyBorder="1" applyProtection="1"/>
    <xf numFmtId="0" fontId="27" fillId="0" borderId="11" xfId="5" applyFont="1" applyBorder="1" applyProtection="1"/>
    <xf numFmtId="0" fontId="27" fillId="0" borderId="0" xfId="5" applyFont="1" applyBorder="1" applyProtection="1"/>
    <xf numFmtId="0" fontId="29" fillId="3" borderId="11" xfId="6" applyFont="1" applyFill="1" applyBorder="1" applyAlignment="1" applyProtection="1">
      <alignment horizontal="left" vertical="center"/>
    </xf>
    <xf numFmtId="0" fontId="65" fillId="9" borderId="102" xfId="5" applyFont="1" applyFill="1" applyBorder="1" applyAlignment="1" applyProtection="1">
      <alignment vertical="center"/>
    </xf>
    <xf numFmtId="0" fontId="27" fillId="0" borderId="33" xfId="5" applyFont="1" applyBorder="1"/>
    <xf numFmtId="0" fontId="32" fillId="0" borderId="0" xfId="5" applyFont="1" applyBorder="1"/>
    <xf numFmtId="0" fontId="27" fillId="0" borderId="7" xfId="5" applyFont="1" applyBorder="1" applyProtection="1"/>
    <xf numFmtId="0" fontId="27" fillId="0" borderId="10" xfId="5" applyFont="1" applyBorder="1"/>
    <xf numFmtId="0" fontId="27" fillId="0" borderId="10" xfId="5" applyFont="1" applyBorder="1" applyProtection="1"/>
    <xf numFmtId="0" fontId="27" fillId="8" borderId="102" xfId="5" applyFont="1" applyFill="1" applyBorder="1" applyAlignment="1" applyProtection="1">
      <alignment vertical="center"/>
      <protection locked="0"/>
    </xf>
    <xf numFmtId="0" fontId="32" fillId="8" borderId="0" xfId="5" applyFont="1" applyFill="1" applyBorder="1" applyAlignment="1" applyProtection="1">
      <alignment vertical="center"/>
    </xf>
    <xf numFmtId="0" fontId="27" fillId="8" borderId="0" xfId="5" applyFont="1" applyFill="1" applyBorder="1" applyAlignment="1" applyProtection="1">
      <alignment vertical="center"/>
    </xf>
    <xf numFmtId="0" fontId="28" fillId="0" borderId="40" xfId="5" applyFont="1" applyBorder="1" applyProtection="1"/>
    <xf numFmtId="0" fontId="28" fillId="0" borderId="33" xfId="5" applyFont="1" applyFill="1" applyBorder="1" applyProtection="1"/>
    <xf numFmtId="0" fontId="28" fillId="0" borderId="33" xfId="5" applyFont="1" applyBorder="1" applyProtection="1">
      <protection locked="0"/>
    </xf>
    <xf numFmtId="0" fontId="28" fillId="0" borderId="0" xfId="5" applyFont="1" applyBorder="1" applyProtection="1">
      <protection locked="0"/>
    </xf>
    <xf numFmtId="0" fontId="28" fillId="0" borderId="10" xfId="5" applyFont="1" applyBorder="1" applyProtection="1">
      <protection locked="0"/>
    </xf>
    <xf numFmtId="0" fontId="28" fillId="0" borderId="33" xfId="5" applyFont="1" applyBorder="1" applyProtection="1"/>
    <xf numFmtId="0" fontId="28" fillId="9" borderId="102" xfId="5" applyFont="1" applyFill="1" applyBorder="1" applyAlignment="1" applyProtection="1">
      <alignment vertical="top" wrapText="1"/>
    </xf>
    <xf numFmtId="0" fontId="28" fillId="0" borderId="7" xfId="5" applyFont="1" applyBorder="1" applyProtection="1"/>
    <xf numFmtId="0" fontId="28" fillId="0" borderId="10" xfId="5" applyFont="1" applyBorder="1" applyProtection="1"/>
    <xf numFmtId="0" fontId="28" fillId="0" borderId="0" xfId="5" applyFont="1" applyBorder="1" applyAlignment="1" applyProtection="1">
      <alignment vertical="center"/>
      <protection locked="0"/>
    </xf>
    <xf numFmtId="0" fontId="88" fillId="0" borderId="0" xfId="0" applyFont="1" applyProtection="1"/>
    <xf numFmtId="175" fontId="89" fillId="0" borderId="0" xfId="0" applyNumberFormat="1" applyFont="1" applyFill="1" applyBorder="1" applyAlignment="1" applyProtection="1">
      <alignment vertical="center"/>
    </xf>
    <xf numFmtId="0" fontId="43" fillId="16" borderId="33" xfId="0" applyFont="1" applyFill="1" applyBorder="1" applyAlignment="1" applyProtection="1">
      <alignment horizontal="center" vertical="center" wrapText="1"/>
    </xf>
    <xf numFmtId="0" fontId="43" fillId="17" borderId="40" xfId="0" applyFont="1" applyFill="1" applyBorder="1" applyAlignment="1" applyProtection="1">
      <alignment horizontal="center" vertical="center" wrapText="1"/>
    </xf>
    <xf numFmtId="0" fontId="43" fillId="17" borderId="44" xfId="0" applyFont="1" applyFill="1" applyBorder="1" applyAlignment="1" applyProtection="1">
      <alignment horizontal="center" vertical="center" wrapText="1"/>
    </xf>
    <xf numFmtId="0" fontId="43" fillId="17" borderId="0" xfId="0" applyFont="1" applyFill="1" applyBorder="1" applyAlignment="1" applyProtection="1">
      <alignment horizontal="center" vertical="center" wrapText="1"/>
    </xf>
    <xf numFmtId="165" fontId="27" fillId="2" borderId="33" xfId="1" applyNumberFormat="1" applyFont="1" applyFill="1" applyBorder="1" applyAlignment="1" applyProtection="1">
      <alignment horizontal="center"/>
    </xf>
    <xf numFmtId="0" fontId="27" fillId="0" borderId="117" xfId="5" applyFont="1" applyBorder="1"/>
    <xf numFmtId="0" fontId="27" fillId="0" borderId="118" xfId="5" applyFont="1" applyBorder="1"/>
    <xf numFmtId="0" fontId="43" fillId="16" borderId="0" xfId="0" applyFont="1" applyFill="1" applyBorder="1" applyAlignment="1" applyProtection="1">
      <alignment horizontal="center" vertical="center" wrapText="1"/>
    </xf>
    <xf numFmtId="0" fontId="29" fillId="0" borderId="33" xfId="0" applyFont="1" applyFill="1" applyBorder="1" applyAlignment="1" applyProtection="1">
      <alignment horizontal="left" vertical="top" wrapText="1"/>
    </xf>
    <xf numFmtId="0" fontId="41" fillId="2" borderId="33" xfId="0" applyFont="1" applyFill="1" applyBorder="1" applyAlignment="1" applyProtection="1">
      <alignment horizontal="left"/>
    </xf>
    <xf numFmtId="0" fontId="48" fillId="0" borderId="33" xfId="0" applyFont="1" applyFill="1" applyBorder="1" applyAlignment="1" applyProtection="1">
      <alignment vertical="center"/>
    </xf>
    <xf numFmtId="0" fontId="49" fillId="0" borderId="33" xfId="0" applyFont="1" applyFill="1" applyBorder="1" applyAlignment="1" applyProtection="1">
      <alignment vertical="center"/>
    </xf>
    <xf numFmtId="0" fontId="29" fillId="17" borderId="114" xfId="5" applyFont="1" applyFill="1" applyBorder="1" applyAlignment="1" applyProtection="1">
      <alignment horizontal="center" vertical="center" wrapText="1"/>
    </xf>
    <xf numFmtId="0" fontId="32" fillId="2" borderId="114" xfId="0" applyFont="1" applyFill="1" applyBorder="1" applyProtection="1"/>
    <xf numFmtId="0" fontId="29" fillId="21" borderId="109" xfId="0" applyFont="1" applyFill="1" applyBorder="1" applyAlignment="1" applyProtection="1">
      <alignment vertical="center" wrapText="1"/>
    </xf>
    <xf numFmtId="0" fontId="32" fillId="2" borderId="114" xfId="0" applyFont="1" applyFill="1" applyBorder="1" applyProtection="1">
      <protection locked="0"/>
    </xf>
    <xf numFmtId="0" fontId="91" fillId="0" borderId="114" xfId="0" applyFont="1" applyFill="1" applyBorder="1" applyAlignment="1" applyProtection="1">
      <alignment horizontal="left" vertical="center"/>
      <protection locked="0"/>
    </xf>
    <xf numFmtId="0" fontId="59" fillId="2" borderId="61" xfId="0" applyFont="1" applyFill="1" applyBorder="1" applyProtection="1">
      <protection locked="0"/>
    </xf>
    <xf numFmtId="0" fontId="27" fillId="2" borderId="11" xfId="0" applyFont="1" applyFill="1" applyBorder="1" applyProtection="1">
      <protection locked="0"/>
    </xf>
    <xf numFmtId="0" fontId="27" fillId="2" borderId="0" xfId="0" applyFont="1" applyFill="1" applyBorder="1" applyProtection="1">
      <protection locked="0"/>
    </xf>
    <xf numFmtId="165" fontId="27" fillId="2" borderId="0" xfId="1" applyNumberFormat="1" applyFont="1" applyFill="1" applyBorder="1" applyAlignment="1" applyProtection="1">
      <alignment horizontal="center"/>
      <protection locked="0"/>
    </xf>
    <xf numFmtId="0" fontId="40" fillId="2" borderId="0" xfId="0" applyFont="1" applyFill="1" applyBorder="1" applyProtection="1">
      <protection locked="0"/>
    </xf>
    <xf numFmtId="0" fontId="32" fillId="2" borderId="0" xfId="0" applyFont="1" applyFill="1" applyBorder="1" applyProtection="1">
      <protection locked="0"/>
    </xf>
    <xf numFmtId="0" fontId="57" fillId="2" borderId="11" xfId="0" applyFont="1" applyFill="1" applyBorder="1" applyProtection="1">
      <protection locked="0"/>
    </xf>
    <xf numFmtId="0" fontId="27" fillId="2" borderId="0" xfId="0" applyFont="1" applyFill="1" applyBorder="1" applyAlignment="1" applyProtection="1">
      <alignment horizontal="center"/>
      <protection locked="0"/>
    </xf>
    <xf numFmtId="0" fontId="27" fillId="2" borderId="7" xfId="0" applyFont="1" applyFill="1" applyBorder="1" applyProtection="1">
      <protection locked="0"/>
    </xf>
    <xf numFmtId="0" fontId="27" fillId="2" borderId="10" xfId="0" applyFont="1" applyFill="1" applyBorder="1" applyProtection="1">
      <protection locked="0"/>
    </xf>
    <xf numFmtId="0" fontId="27" fillId="2" borderId="10" xfId="0" applyFont="1" applyFill="1" applyBorder="1" applyAlignment="1" applyProtection="1">
      <alignment horizontal="center"/>
      <protection locked="0"/>
    </xf>
    <xf numFmtId="0" fontId="40" fillId="2" borderId="10" xfId="0" applyFont="1" applyFill="1" applyBorder="1" applyProtection="1">
      <protection locked="0"/>
    </xf>
    <xf numFmtId="0" fontId="32" fillId="2" borderId="10" xfId="0" applyFont="1" applyFill="1" applyBorder="1" applyProtection="1">
      <protection locked="0"/>
    </xf>
    <xf numFmtId="0" fontId="59" fillId="2" borderId="0" xfId="0" applyFont="1" applyFill="1" applyProtection="1"/>
    <xf numFmtId="0" fontId="24" fillId="2" borderId="0" xfId="0" applyFont="1" applyFill="1" applyBorder="1" applyAlignment="1" applyProtection="1">
      <alignment horizontal="left" vertical="center" wrapText="1"/>
      <protection locked="0"/>
    </xf>
    <xf numFmtId="0" fontId="74" fillId="8" borderId="102" xfId="8" applyFont="1" applyFill="1" applyBorder="1" applyAlignment="1" applyProtection="1">
      <alignment horizontal="center" vertical="center" wrapText="1"/>
    </xf>
    <xf numFmtId="0" fontId="28" fillId="6" borderId="99" xfId="0" applyFont="1" applyFill="1" applyBorder="1" applyAlignment="1" applyProtection="1">
      <alignment horizontal="center" vertical="center" wrapText="1"/>
      <protection locked="0"/>
    </xf>
    <xf numFmtId="0" fontId="29" fillId="4" borderId="109" xfId="0" applyFont="1" applyFill="1" applyBorder="1" applyAlignment="1" applyProtection="1">
      <alignment horizontal="center" vertical="center"/>
    </xf>
    <xf numFmtId="0" fontId="29" fillId="16" borderId="100" xfId="0" applyFont="1" applyFill="1" applyBorder="1" applyAlignment="1" applyProtection="1">
      <alignment horizontal="center" vertical="center" wrapText="1"/>
    </xf>
    <xf numFmtId="0" fontId="29" fillId="16" borderId="100" xfId="0" applyFont="1" applyFill="1" applyBorder="1" applyAlignment="1" applyProtection="1">
      <alignment horizontal="center" vertical="center"/>
    </xf>
    <xf numFmtId="0" fontId="24" fillId="2" borderId="0" xfId="0" applyFont="1" applyFill="1" applyBorder="1" applyAlignment="1" applyProtection="1">
      <alignment horizontal="left" vertical="center" wrapText="1"/>
      <protection locked="0"/>
    </xf>
    <xf numFmtId="0" fontId="28" fillId="8" borderId="99" xfId="0" applyNumberFormat="1" applyFont="1" applyFill="1" applyBorder="1" applyAlignment="1" applyProtection="1">
      <alignment horizontal="center" vertical="center" wrapText="1"/>
    </xf>
    <xf numFmtId="0" fontId="28" fillId="0" borderId="0" xfId="0" applyFont="1" applyFill="1" applyBorder="1" applyAlignment="1" applyProtection="1">
      <alignment horizontal="center" vertical="center" wrapText="1"/>
      <protection locked="0"/>
    </xf>
    <xf numFmtId="0" fontId="28" fillId="2" borderId="0" xfId="0" applyFont="1" applyFill="1" applyBorder="1" applyAlignment="1" applyProtection="1">
      <alignment horizontal="left" vertical="center" wrapText="1"/>
      <protection locked="0"/>
    </xf>
    <xf numFmtId="0" fontId="84" fillId="2" borderId="0" xfId="0" applyFont="1" applyFill="1" applyBorder="1" applyProtection="1">
      <protection hidden="1"/>
    </xf>
    <xf numFmtId="0" fontId="32" fillId="2" borderId="0" xfId="0" applyFont="1" applyFill="1" applyBorder="1" applyProtection="1">
      <protection hidden="1"/>
    </xf>
    <xf numFmtId="0" fontId="92" fillId="0" borderId="0" xfId="0" applyFont="1" applyProtection="1">
      <protection hidden="1"/>
    </xf>
    <xf numFmtId="167" fontId="28" fillId="0" borderId="114" xfId="0" applyNumberFormat="1" applyFont="1" applyFill="1" applyBorder="1" applyAlignment="1" applyProtection="1">
      <alignment horizontal="center" vertical="center" wrapText="1"/>
      <protection locked="0"/>
    </xf>
    <xf numFmtId="0" fontId="28" fillId="0" borderId="119" xfId="0" applyFont="1" applyFill="1" applyBorder="1" applyAlignment="1" applyProtection="1">
      <alignment horizontal="center" vertical="center" wrapText="1"/>
      <protection locked="0"/>
    </xf>
    <xf numFmtId="15" fontId="28" fillId="2" borderId="0" xfId="0" applyNumberFormat="1" applyFont="1" applyFill="1" applyBorder="1" applyAlignment="1" applyProtection="1">
      <alignment horizontal="center" vertical="center"/>
      <protection locked="0"/>
    </xf>
    <xf numFmtId="0" fontId="28" fillId="2" borderId="0" xfId="0" applyFont="1" applyFill="1" applyBorder="1" applyAlignment="1" applyProtection="1">
      <alignment vertical="center" wrapText="1"/>
      <protection locked="0"/>
    </xf>
    <xf numFmtId="0" fontId="29" fillId="11" borderId="0" xfId="0" applyFont="1" applyFill="1" applyBorder="1" applyAlignment="1" applyProtection="1">
      <alignment horizontal="left" vertical="center" wrapText="1"/>
    </xf>
    <xf numFmtId="167" fontId="28" fillId="0" borderId="114" xfId="0" applyNumberFormat="1" applyFont="1" applyFill="1" applyBorder="1" applyAlignment="1" applyProtection="1">
      <alignment horizontal="left" vertical="center" wrapText="1"/>
      <protection locked="0"/>
    </xf>
    <xf numFmtId="0" fontId="28" fillId="0" borderId="0" xfId="0" applyFont="1" applyFill="1" applyBorder="1" applyAlignment="1" applyProtection="1">
      <alignment horizontal="center" wrapText="1"/>
      <protection locked="0"/>
    </xf>
    <xf numFmtId="0" fontId="29" fillId="11" borderId="99" xfId="5" applyFont="1" applyFill="1" applyBorder="1" applyAlignment="1" applyProtection="1">
      <alignment horizontal="center" vertical="center" wrapText="1"/>
    </xf>
    <xf numFmtId="0" fontId="32" fillId="6" borderId="0" xfId="0" applyFont="1" applyFill="1" applyBorder="1" applyProtection="1">
      <protection hidden="1"/>
    </xf>
    <xf numFmtId="0" fontId="32" fillId="2" borderId="0" xfId="0" applyFont="1" applyFill="1" applyBorder="1" applyAlignment="1" applyProtection="1">
      <protection hidden="1"/>
    </xf>
    <xf numFmtId="0" fontId="59" fillId="2" borderId="0" xfId="0" applyFont="1" applyFill="1" applyBorder="1" applyProtection="1"/>
    <xf numFmtId="0" fontId="91" fillId="2" borderId="0" xfId="0" applyFont="1" applyFill="1" applyBorder="1" applyProtection="1"/>
    <xf numFmtId="0" fontId="38" fillId="2" borderId="0" xfId="0" applyFont="1" applyFill="1" applyBorder="1" applyAlignment="1" applyProtection="1">
      <alignment horizontal="left" vertical="center" wrapText="1"/>
    </xf>
    <xf numFmtId="0" fontId="66" fillId="0" borderId="0" xfId="0" applyFont="1" applyAlignment="1" applyProtection="1">
      <alignment horizontal="left" vertical="center" wrapText="1"/>
    </xf>
    <xf numFmtId="0" fontId="63" fillId="0" borderId="0" xfId="0" applyFont="1" applyAlignment="1" applyProtection="1">
      <alignment horizontal="left" vertical="center"/>
    </xf>
    <xf numFmtId="0" fontId="29" fillId="16" borderId="33" xfId="0" applyFont="1" applyFill="1" applyBorder="1" applyAlignment="1" applyProtection="1">
      <alignment horizontal="center" vertical="center" wrapText="1"/>
    </xf>
    <xf numFmtId="0" fontId="33" fillId="6" borderId="0" xfId="0" applyFont="1" applyFill="1" applyBorder="1" applyAlignment="1" applyProtection="1">
      <alignment horizontal="left" vertical="center" wrapText="1"/>
    </xf>
    <xf numFmtId="0" fontId="29" fillId="16" borderId="55" xfId="0" applyFont="1" applyFill="1" applyBorder="1" applyAlignment="1" applyProtection="1">
      <alignment horizontal="center" vertical="center" wrapText="1"/>
    </xf>
    <xf numFmtId="0" fontId="29" fillId="16" borderId="58" xfId="0" applyFont="1" applyFill="1" applyBorder="1" applyAlignment="1" applyProtection="1">
      <alignment horizontal="center" vertical="center" wrapText="1"/>
    </xf>
    <xf numFmtId="6" fontId="29" fillId="18" borderId="89" xfId="56" applyNumberFormat="1" applyFont="1" applyFill="1" applyBorder="1" applyAlignment="1" applyProtection="1">
      <alignment vertical="center"/>
    </xf>
    <xf numFmtId="6" fontId="29" fillId="13" borderId="60" xfId="56" applyNumberFormat="1" applyFont="1" applyFill="1" applyBorder="1" applyAlignment="1" applyProtection="1">
      <alignment vertical="center"/>
      <protection locked="0"/>
    </xf>
    <xf numFmtId="6" fontId="28" fillId="14" borderId="98" xfId="1" applyNumberFormat="1" applyFont="1" applyFill="1" applyBorder="1" applyAlignment="1" applyProtection="1">
      <alignment vertical="center"/>
      <protection locked="0"/>
    </xf>
    <xf numFmtId="6" fontId="28" fillId="13" borderId="21" xfId="1" applyNumberFormat="1" applyFont="1" applyFill="1" applyBorder="1" applyAlignment="1" applyProtection="1">
      <alignment vertical="center"/>
      <protection locked="0"/>
    </xf>
    <xf numFmtId="6" fontId="29" fillId="12" borderId="21" xfId="0" applyNumberFormat="1" applyFont="1" applyFill="1" applyBorder="1" applyAlignment="1" applyProtection="1">
      <alignment vertical="center"/>
    </xf>
    <xf numFmtId="6" fontId="28" fillId="13" borderId="50" xfId="1" applyNumberFormat="1" applyFont="1" applyFill="1" applyBorder="1" applyAlignment="1" applyProtection="1">
      <alignment vertical="center"/>
      <protection locked="0"/>
    </xf>
    <xf numFmtId="6" fontId="29" fillId="12" borderId="68" xfId="0" applyNumberFormat="1" applyFont="1" applyFill="1" applyBorder="1" applyAlignment="1" applyProtection="1">
      <alignment vertical="center"/>
    </xf>
    <xf numFmtId="6" fontId="28" fillId="13" borderId="50" xfId="56" applyNumberFormat="1" applyFont="1" applyFill="1" applyBorder="1" applyAlignment="1" applyProtection="1">
      <alignment vertical="center"/>
      <protection locked="0"/>
    </xf>
    <xf numFmtId="6" fontId="28" fillId="13" borderId="1" xfId="56" applyNumberFormat="1" applyFont="1" applyFill="1" applyBorder="1" applyAlignment="1" applyProtection="1">
      <alignment vertical="center"/>
      <protection locked="0"/>
    </xf>
    <xf numFmtId="6" fontId="28" fillId="13" borderId="1" xfId="1" applyNumberFormat="1" applyFont="1" applyFill="1" applyBorder="1" applyAlignment="1" applyProtection="1">
      <alignment vertical="center"/>
      <protection locked="0"/>
    </xf>
    <xf numFmtId="6" fontId="28" fillId="12" borderId="1" xfId="0" applyNumberFormat="1" applyFont="1" applyFill="1" applyBorder="1" applyAlignment="1" applyProtection="1">
      <alignment vertical="center"/>
    </xf>
    <xf numFmtId="6" fontId="28" fillId="13" borderId="6" xfId="1" applyNumberFormat="1" applyFont="1" applyFill="1" applyBorder="1" applyAlignment="1" applyProtection="1">
      <alignment vertical="center"/>
      <protection locked="0"/>
    </xf>
    <xf numFmtId="6" fontId="28" fillId="13" borderId="6" xfId="56" applyNumberFormat="1" applyFont="1" applyFill="1" applyBorder="1" applyAlignment="1" applyProtection="1">
      <alignment vertical="center"/>
      <protection locked="0"/>
    </xf>
    <xf numFmtId="6" fontId="29" fillId="12" borderId="51" xfId="56" applyNumberFormat="1" applyFont="1" applyFill="1" applyBorder="1" applyAlignment="1" applyProtection="1">
      <alignment vertical="center"/>
    </xf>
    <xf numFmtId="6" fontId="29" fillId="12" borderId="42" xfId="56" applyNumberFormat="1" applyFont="1" applyFill="1" applyBorder="1" applyAlignment="1" applyProtection="1">
      <alignment vertical="center"/>
    </xf>
    <xf numFmtId="6" fontId="29" fillId="12" borderId="98" xfId="0" applyNumberFormat="1" applyFont="1" applyFill="1" applyBorder="1" applyAlignment="1" applyProtection="1">
      <alignment vertical="center"/>
    </xf>
    <xf numFmtId="6" fontId="29" fillId="12" borderId="42" xfId="0" applyNumberFormat="1" applyFont="1" applyFill="1" applyBorder="1" applyAlignment="1" applyProtection="1">
      <alignment vertical="center"/>
    </xf>
    <xf numFmtId="6" fontId="29" fillId="12" borderId="19" xfId="0" applyNumberFormat="1" applyFont="1" applyFill="1" applyBorder="1" applyAlignment="1" applyProtection="1">
      <alignment vertical="center"/>
    </xf>
    <xf numFmtId="6" fontId="28" fillId="12" borderId="50" xfId="56" applyNumberFormat="1" applyFont="1" applyFill="1" applyBorder="1" applyAlignment="1" applyProtection="1">
      <alignment vertical="center"/>
    </xf>
    <xf numFmtId="6" fontId="28" fillId="12" borderId="6" xfId="0" applyNumberFormat="1" applyFont="1" applyFill="1" applyBorder="1" applyAlignment="1" applyProtection="1">
      <alignment vertical="center"/>
    </xf>
    <xf numFmtId="6" fontId="28" fillId="13" borderId="6" xfId="0" applyNumberFormat="1" applyFont="1" applyFill="1" applyBorder="1" applyAlignment="1" applyProtection="1">
      <alignment vertical="center"/>
      <protection locked="0"/>
    </xf>
    <xf numFmtId="6" fontId="28" fillId="12" borderId="98" xfId="0" applyNumberFormat="1" applyFont="1" applyFill="1" applyBorder="1" applyAlignment="1" applyProtection="1">
      <alignment vertical="center"/>
    </xf>
    <xf numFmtId="6" fontId="29" fillId="12" borderId="60" xfId="56" applyNumberFormat="1" applyFont="1" applyFill="1" applyBorder="1" applyAlignment="1" applyProtection="1">
      <alignment vertical="center"/>
    </xf>
    <xf numFmtId="6" fontId="28" fillId="12" borderId="19" xfId="0" applyNumberFormat="1" applyFont="1" applyFill="1" applyBorder="1" applyAlignment="1" applyProtection="1">
      <alignment vertical="center"/>
    </xf>
    <xf numFmtId="6" fontId="28" fillId="13" borderId="50" xfId="0" applyNumberFormat="1" applyFont="1" applyFill="1" applyBorder="1" applyAlignment="1" applyProtection="1">
      <alignment vertical="center"/>
      <protection locked="0"/>
    </xf>
    <xf numFmtId="6" fontId="28" fillId="13" borderId="13" xfId="0" applyNumberFormat="1" applyFont="1" applyFill="1" applyBorder="1" applyAlignment="1" applyProtection="1">
      <alignment vertical="center"/>
      <protection locked="0"/>
    </xf>
    <xf numFmtId="6" fontId="28" fillId="13" borderId="1" xfId="0" applyNumberFormat="1" applyFont="1" applyFill="1" applyBorder="1" applyAlignment="1" applyProtection="1">
      <alignment vertical="center"/>
      <protection locked="0"/>
    </xf>
    <xf numFmtId="6" fontId="28" fillId="13" borderId="21" xfId="0" applyNumberFormat="1" applyFont="1" applyFill="1" applyBorder="1" applyAlignment="1" applyProtection="1">
      <alignment vertical="center"/>
      <protection locked="0"/>
    </xf>
    <xf numFmtId="6" fontId="28" fillId="12" borderId="21" xfId="0" applyNumberFormat="1" applyFont="1" applyFill="1" applyBorder="1" applyAlignment="1" applyProtection="1">
      <alignment vertical="center"/>
    </xf>
    <xf numFmtId="6" fontId="28" fillId="13" borderId="19" xfId="0" applyNumberFormat="1" applyFont="1" applyFill="1" applyBorder="1" applyAlignment="1" applyProtection="1">
      <alignment vertical="center"/>
      <protection locked="0"/>
    </xf>
    <xf numFmtId="6" fontId="29" fillId="12" borderId="39" xfId="56" applyNumberFormat="1" applyFont="1" applyFill="1" applyBorder="1" applyAlignment="1" applyProtection="1">
      <alignment vertical="center"/>
    </xf>
    <xf numFmtId="6" fontId="29" fillId="14" borderId="50" xfId="56" applyNumberFormat="1" applyFont="1" applyFill="1" applyBorder="1" applyAlignment="1" applyProtection="1">
      <alignment vertical="center"/>
    </xf>
    <xf numFmtId="6" fontId="76" fillId="14" borderId="50" xfId="0" applyNumberFormat="1" applyFont="1" applyFill="1" applyBorder="1" applyAlignment="1" applyProtection="1">
      <alignment vertical="center"/>
      <protection locked="0"/>
    </xf>
    <xf numFmtId="6" fontId="76" fillId="13" borderId="6" xfId="0" applyNumberFormat="1" applyFont="1" applyFill="1" applyBorder="1" applyAlignment="1" applyProtection="1">
      <alignment vertical="center"/>
      <protection locked="0"/>
    </xf>
    <xf numFmtId="6" fontId="29" fillId="18" borderId="90" xfId="56" applyNumberFormat="1" applyFont="1" applyFill="1" applyBorder="1" applyAlignment="1" applyProtection="1">
      <alignment vertical="center"/>
    </xf>
    <xf numFmtId="6" fontId="29" fillId="14" borderId="51" xfId="56" applyNumberFormat="1" applyFont="1" applyFill="1" applyBorder="1" applyAlignment="1" applyProtection="1">
      <alignment vertical="center"/>
    </xf>
    <xf numFmtId="6" fontId="29" fillId="0" borderId="0" xfId="56" applyNumberFormat="1" applyFont="1" applyFill="1" applyBorder="1" applyAlignment="1" applyProtection="1">
      <alignment vertical="center"/>
    </xf>
    <xf numFmtId="6" fontId="28" fillId="18" borderId="50" xfId="0" applyNumberFormat="1" applyFont="1" applyFill="1" applyBorder="1" applyAlignment="1" applyProtection="1">
      <alignment vertical="center"/>
    </xf>
    <xf numFmtId="6" fontId="28" fillId="13" borderId="82" xfId="0" applyNumberFormat="1" applyFont="1" applyFill="1" applyBorder="1" applyAlignment="1" applyProtection="1">
      <alignment vertical="center"/>
      <protection locked="0"/>
    </xf>
    <xf numFmtId="6" fontId="28" fillId="18" borderId="6" xfId="0" applyNumberFormat="1" applyFont="1" applyFill="1" applyBorder="1" applyAlignment="1" applyProtection="1">
      <alignment vertical="center"/>
    </xf>
    <xf numFmtId="6" fontId="28" fillId="13" borderId="42" xfId="0" applyNumberFormat="1" applyFont="1" applyFill="1" applyBorder="1" applyAlignment="1" applyProtection="1">
      <alignment vertical="center"/>
      <protection locked="0"/>
    </xf>
    <xf numFmtId="6" fontId="28" fillId="18" borderId="45" xfId="0" applyNumberFormat="1" applyFont="1" applyFill="1" applyBorder="1" applyAlignment="1" applyProtection="1">
      <alignment vertical="center"/>
    </xf>
    <xf numFmtId="6" fontId="28" fillId="12" borderId="45" xfId="0" applyNumberFormat="1" applyFont="1" applyFill="1" applyBorder="1" applyAlignment="1" applyProtection="1">
      <alignment vertical="center"/>
    </xf>
    <xf numFmtId="6" fontId="28" fillId="13" borderId="80" xfId="0" applyNumberFormat="1" applyFont="1" applyFill="1" applyBorder="1" applyAlignment="1" applyProtection="1">
      <alignment vertical="center"/>
      <protection locked="0"/>
    </xf>
    <xf numFmtId="6" fontId="28" fillId="12" borderId="68" xfId="0" applyNumberFormat="1" applyFont="1" applyFill="1" applyBorder="1" applyAlignment="1" applyProtection="1">
      <alignment vertical="center"/>
    </xf>
    <xf numFmtId="6" fontId="28" fillId="13" borderId="12" xfId="0" applyNumberFormat="1" applyFont="1" applyFill="1" applyBorder="1" applyAlignment="1" applyProtection="1">
      <alignment vertical="center"/>
      <protection locked="0"/>
    </xf>
    <xf numFmtId="6" fontId="28" fillId="13" borderId="3" xfId="1" applyNumberFormat="1" applyFont="1" applyFill="1" applyBorder="1" applyAlignment="1" applyProtection="1">
      <alignment vertical="center"/>
      <protection locked="0"/>
    </xf>
    <xf numFmtId="6" fontId="28" fillId="12" borderId="12" xfId="0" applyNumberFormat="1" applyFont="1" applyFill="1" applyBorder="1" applyAlignment="1" applyProtection="1">
      <alignment vertical="center"/>
    </xf>
    <xf numFmtId="6" fontId="29" fillId="12" borderId="1" xfId="0" applyNumberFormat="1" applyFont="1" applyFill="1" applyBorder="1" applyAlignment="1" applyProtection="1">
      <alignment vertical="center"/>
    </xf>
    <xf numFmtId="6" fontId="28" fillId="13" borderId="4" xfId="0" applyNumberFormat="1" applyFont="1" applyFill="1" applyBorder="1" applyAlignment="1" applyProtection="1">
      <alignment vertical="center"/>
      <protection locked="0"/>
    </xf>
    <xf numFmtId="6" fontId="28" fillId="12" borderId="4" xfId="0" applyNumberFormat="1" applyFont="1" applyFill="1" applyBorder="1" applyAlignment="1" applyProtection="1">
      <alignment vertical="center"/>
    </xf>
    <xf numFmtId="6" fontId="29" fillId="12" borderId="13" xfId="0" applyNumberFormat="1" applyFont="1" applyFill="1" applyBorder="1" applyAlignment="1" applyProtection="1">
      <alignment vertical="center"/>
    </xf>
    <xf numFmtId="6" fontId="29" fillId="12" borderId="53" xfId="56" applyNumberFormat="1" applyFont="1" applyFill="1" applyBorder="1" applyAlignment="1" applyProtection="1">
      <alignment vertical="center"/>
    </xf>
    <xf numFmtId="6" fontId="29" fillId="12" borderId="53" xfId="0" applyNumberFormat="1" applyFont="1" applyFill="1" applyBorder="1" applyAlignment="1" applyProtection="1">
      <alignment vertical="center"/>
    </xf>
    <xf numFmtId="6" fontId="28" fillId="12" borderId="52" xfId="0" applyNumberFormat="1" applyFont="1" applyFill="1" applyBorder="1" applyAlignment="1" applyProtection="1">
      <alignment vertical="center"/>
    </xf>
    <xf numFmtId="6" fontId="28" fillId="12" borderId="50" xfId="0" applyNumberFormat="1" applyFont="1" applyFill="1" applyBorder="1" applyAlignment="1" applyProtection="1">
      <alignment vertical="center"/>
    </xf>
    <xf numFmtId="6" fontId="28" fillId="12" borderId="51" xfId="0" applyNumberFormat="1" applyFont="1" applyFill="1" applyBorder="1" applyAlignment="1" applyProtection="1">
      <alignment vertical="center"/>
    </xf>
    <xf numFmtId="6" fontId="28" fillId="12" borderId="42" xfId="0" applyNumberFormat="1" applyFont="1" applyFill="1" applyBorder="1" applyAlignment="1" applyProtection="1">
      <alignment vertical="center"/>
    </xf>
    <xf numFmtId="6" fontId="76" fillId="13" borderId="72" xfId="0" applyNumberFormat="1" applyFont="1" applyFill="1" applyBorder="1" applyAlignment="1" applyProtection="1">
      <alignment vertical="center"/>
      <protection locked="0"/>
    </xf>
    <xf numFmtId="170" fontId="28" fillId="12" borderId="1" xfId="10" applyNumberFormat="1" applyFont="1" applyFill="1" applyBorder="1" applyAlignment="1" applyProtection="1">
      <alignment horizontal="center" vertical="center"/>
    </xf>
    <xf numFmtId="6" fontId="29" fillId="12" borderId="1" xfId="0" applyNumberFormat="1" applyFont="1" applyFill="1" applyBorder="1" applyAlignment="1" applyProtection="1">
      <alignment vertical="center"/>
      <protection locked="0"/>
    </xf>
    <xf numFmtId="170" fontId="28" fillId="12" borderId="21" xfId="10" applyNumberFormat="1" applyFont="1" applyFill="1" applyBorder="1" applyAlignment="1" applyProtection="1">
      <alignment horizontal="center" vertical="center"/>
    </xf>
    <xf numFmtId="6" fontId="29" fillId="12" borderId="3" xfId="0" applyNumberFormat="1" applyFont="1" applyFill="1" applyBorder="1" applyAlignment="1" applyProtection="1">
      <alignment vertical="center"/>
    </xf>
    <xf numFmtId="9" fontId="28" fillId="12" borderId="39" xfId="10" applyFont="1" applyFill="1" applyBorder="1" applyAlignment="1" applyProtection="1">
      <alignment horizontal="center" vertical="center"/>
    </xf>
    <xf numFmtId="170" fontId="28" fillId="12" borderId="39" xfId="10" applyNumberFormat="1" applyFont="1" applyFill="1" applyBorder="1" applyAlignment="1" applyProtection="1">
      <alignment horizontal="center" vertical="center"/>
    </xf>
    <xf numFmtId="6" fontId="28" fillId="12" borderId="1" xfId="0" applyNumberFormat="1" applyFont="1" applyFill="1" applyBorder="1" applyAlignment="1" applyProtection="1">
      <alignment vertical="center" wrapText="1"/>
    </xf>
    <xf numFmtId="9" fontId="28" fillId="12" borderId="1" xfId="10" applyFont="1" applyFill="1" applyBorder="1" applyAlignment="1" applyProtection="1">
      <alignment horizontal="center" vertical="center"/>
    </xf>
    <xf numFmtId="6" fontId="29" fillId="12" borderId="39" xfId="0" applyNumberFormat="1" applyFont="1" applyFill="1" applyBorder="1" applyAlignment="1" applyProtection="1">
      <alignment vertical="center"/>
    </xf>
    <xf numFmtId="0" fontId="39" fillId="0" borderId="0" xfId="57" applyFont="1" applyFill="1" applyBorder="1" applyProtection="1"/>
    <xf numFmtId="0" fontId="39" fillId="0" borderId="0" xfId="57" applyFont="1" applyFill="1" applyProtection="1"/>
    <xf numFmtId="0" fontId="39" fillId="0" borderId="0" xfId="57" applyFont="1" applyProtection="1"/>
    <xf numFmtId="0" fontId="39" fillId="8" borderId="0" xfId="57" applyFont="1" applyFill="1" applyProtection="1"/>
    <xf numFmtId="0" fontId="39" fillId="0" borderId="0" xfId="57" applyFont="1" applyFill="1" applyProtection="1">
      <protection locked="0"/>
    </xf>
    <xf numFmtId="0" fontId="39" fillId="0" borderId="0" xfId="57" applyFont="1" applyFill="1" applyAlignment="1" applyProtection="1">
      <alignment vertical="center"/>
      <protection locked="0"/>
    </xf>
    <xf numFmtId="0" fontId="40" fillId="0" borderId="0" xfId="57" applyFont="1" applyAlignment="1" applyProtection="1">
      <alignment horizontal="center" wrapText="1"/>
    </xf>
    <xf numFmtId="0" fontId="59" fillId="0" borderId="0" xfId="57" applyFont="1" applyAlignment="1" applyProtection="1">
      <alignment horizontal="center" wrapText="1"/>
    </xf>
    <xf numFmtId="0" fontId="65" fillId="0" borderId="10" xfId="57" applyFont="1" applyBorder="1" applyAlignment="1" applyProtection="1"/>
    <xf numFmtId="0" fontId="40" fillId="0" borderId="0" xfId="57" applyFont="1" applyProtection="1"/>
    <xf numFmtId="0" fontId="39" fillId="22" borderId="0" xfId="57" applyFont="1" applyFill="1" applyBorder="1" applyProtection="1"/>
    <xf numFmtId="0" fontId="63" fillId="2" borderId="0" xfId="0" applyFont="1" applyFill="1" applyAlignment="1" applyProtection="1">
      <alignment wrapText="1"/>
    </xf>
    <xf numFmtId="0" fontId="4" fillId="0" borderId="0" xfId="58"/>
    <xf numFmtId="0" fontId="83" fillId="0" borderId="0" xfId="58" applyFont="1" applyBorder="1" applyAlignment="1">
      <alignment horizontal="left" vertical="center"/>
    </xf>
    <xf numFmtId="0" fontId="79" fillId="0" borderId="0" xfId="58" applyFont="1" applyBorder="1" applyAlignment="1">
      <alignment horizontal="left" vertical="center"/>
    </xf>
    <xf numFmtId="0" fontId="65" fillId="8" borderId="1" xfId="58" applyFont="1" applyFill="1" applyBorder="1" applyAlignment="1">
      <alignment horizontal="center" vertical="center" wrapText="1"/>
    </xf>
    <xf numFmtId="0" fontId="69" fillId="8" borderId="1" xfId="58" applyFont="1" applyFill="1" applyBorder="1" applyAlignment="1">
      <alignment vertical="center" wrapText="1"/>
    </xf>
    <xf numFmtId="0" fontId="69" fillId="12" borderId="1" xfId="58" applyFont="1" applyFill="1" applyBorder="1" applyAlignment="1">
      <alignment horizontal="center" vertical="center" wrapText="1"/>
    </xf>
    <xf numFmtId="0" fontId="29" fillId="16" borderId="1" xfId="58" applyFont="1" applyFill="1" applyBorder="1" applyAlignment="1" applyProtection="1">
      <alignment horizontal="center" vertical="center" wrapText="1"/>
    </xf>
    <xf numFmtId="0" fontId="69" fillId="16" borderId="1" xfId="58" applyFont="1" applyFill="1" applyBorder="1" applyAlignment="1">
      <alignment horizontal="center" vertical="center" wrapText="1"/>
    </xf>
    <xf numFmtId="0" fontId="39" fillId="0" borderId="1" xfId="58" applyFont="1" applyBorder="1" applyAlignment="1">
      <alignment horizontal="center" vertical="center" wrapText="1"/>
    </xf>
    <xf numFmtId="0" fontId="79" fillId="0" borderId="1" xfId="58" applyFont="1" applyBorder="1" applyAlignment="1">
      <alignment horizontal="left" vertical="top" wrapText="1"/>
    </xf>
    <xf numFmtId="0" fontId="24" fillId="0" borderId="1" xfId="58" applyFont="1" applyBorder="1" applyAlignment="1">
      <alignment horizontal="center" vertical="center" wrapText="1"/>
    </xf>
    <xf numFmtId="0" fontId="28" fillId="0" borderId="1" xfId="58" applyFont="1" applyBorder="1" applyAlignment="1">
      <alignment horizontal="left" vertical="top" wrapText="1"/>
    </xf>
    <xf numFmtId="0" fontId="73" fillId="0" borderId="0" xfId="58" applyFont="1"/>
    <xf numFmtId="49" fontId="23" fillId="0" borderId="0" xfId="0" applyNumberFormat="1" applyFont="1" applyAlignment="1" applyProtection="1">
      <alignment horizontal="right" vertical="center"/>
    </xf>
    <xf numFmtId="49" fontId="27" fillId="0" borderId="0" xfId="0" applyNumberFormat="1" applyFont="1" applyFill="1" applyAlignment="1" applyProtection="1">
      <alignment horizontal="right"/>
    </xf>
    <xf numFmtId="49" fontId="27" fillId="0" borderId="0" xfId="0" applyNumberFormat="1" applyFont="1" applyAlignment="1" applyProtection="1">
      <alignment horizontal="right"/>
    </xf>
    <xf numFmtId="49" fontId="23" fillId="0" borderId="0" xfId="0" applyNumberFormat="1" applyFont="1" applyFill="1" applyAlignment="1" applyProtection="1">
      <alignment horizontal="right" vertical="center"/>
    </xf>
    <xf numFmtId="49" fontId="23" fillId="0" borderId="0" xfId="0" applyNumberFormat="1" applyFont="1" applyFill="1" applyBorder="1" applyAlignment="1" applyProtection="1">
      <alignment horizontal="right" vertical="center"/>
    </xf>
    <xf numFmtId="0" fontId="90" fillId="0" borderId="0" xfId="5" applyFont="1"/>
    <xf numFmtId="0" fontId="90" fillId="0" borderId="0" xfId="5" quotePrefix="1" applyFont="1" applyAlignment="1">
      <alignment horizontal="left"/>
    </xf>
    <xf numFmtId="0" fontId="96" fillId="0" borderId="0" xfId="57" applyFont="1" applyFill="1" applyProtection="1"/>
    <xf numFmtId="0" fontId="93" fillId="22" borderId="0" xfId="57" applyFont="1" applyFill="1" applyBorder="1" applyProtection="1"/>
    <xf numFmtId="0" fontId="39" fillId="9" borderId="125" xfId="57" applyFont="1" applyFill="1" applyBorder="1" applyAlignment="1" applyProtection="1"/>
    <xf numFmtId="0" fontId="94" fillId="0" borderId="125" xfId="0" applyFont="1" applyFill="1" applyBorder="1" applyAlignment="1">
      <alignment horizontal="center" vertical="center" wrapText="1"/>
    </xf>
    <xf numFmtId="0" fontId="39" fillId="0" borderId="125" xfId="57" applyFont="1" applyFill="1" applyBorder="1" applyProtection="1"/>
    <xf numFmtId="0" fontId="39" fillId="0" borderId="125" xfId="57" applyFont="1" applyFill="1" applyBorder="1" applyAlignment="1" applyProtection="1"/>
    <xf numFmtId="174" fontId="23" fillId="12" borderId="125" xfId="57" applyNumberFormat="1" applyFont="1" applyFill="1" applyBorder="1" applyAlignment="1" applyProtection="1">
      <alignment vertical="center"/>
    </xf>
    <xf numFmtId="169" fontId="24" fillId="13" borderId="125" xfId="57" applyNumberFormat="1" applyFont="1" applyFill="1" applyBorder="1" applyAlignment="1" applyProtection="1">
      <alignment vertical="center" wrapText="1"/>
      <protection locked="0"/>
    </xf>
    <xf numFmtId="174" fontId="24" fillId="0" borderId="125" xfId="57" applyNumberFormat="1" applyFont="1" applyFill="1" applyBorder="1" applyAlignment="1" applyProtection="1">
      <alignment vertical="center"/>
    </xf>
    <xf numFmtId="169" fontId="24" fillId="16" borderId="125" xfId="57" applyNumberFormat="1" applyFont="1" applyFill="1" applyBorder="1" applyAlignment="1" applyProtection="1">
      <alignment vertical="center" wrapText="1"/>
    </xf>
    <xf numFmtId="0" fontId="39" fillId="0" borderId="125" xfId="57" applyFont="1" applyBorder="1" applyProtection="1"/>
    <xf numFmtId="0" fontId="65" fillId="9" borderId="125" xfId="57" applyFont="1" applyFill="1" applyBorder="1" applyAlignment="1" applyProtection="1">
      <alignment vertical="center"/>
    </xf>
    <xf numFmtId="0" fontId="39" fillId="0" borderId="126" xfId="57" applyFont="1" applyBorder="1" applyProtection="1"/>
    <xf numFmtId="0" fontId="39" fillId="0" borderId="127" xfId="57" applyFont="1" applyBorder="1" applyProtection="1"/>
    <xf numFmtId="0" fontId="65" fillId="9" borderId="126" xfId="57" applyFont="1" applyFill="1" applyBorder="1" applyAlignment="1" applyProtection="1">
      <alignment vertical="center"/>
    </xf>
    <xf numFmtId="0" fontId="65" fillId="9" borderId="127" xfId="57" applyFont="1" applyFill="1" applyBorder="1" applyAlignment="1" applyProtection="1">
      <alignment vertical="center"/>
    </xf>
    <xf numFmtId="0" fontId="65" fillId="9" borderId="128" xfId="0" applyFont="1" applyFill="1" applyBorder="1" applyAlignment="1" applyProtection="1">
      <alignment vertical="center"/>
    </xf>
    <xf numFmtId="174" fontId="23" fillId="12" borderId="128" xfId="57" applyNumberFormat="1" applyFont="1" applyFill="1" applyBorder="1" applyAlignment="1" applyProtection="1">
      <alignment vertical="center"/>
    </xf>
    <xf numFmtId="169" fontId="24" fillId="13" borderId="128" xfId="57" applyNumberFormat="1" applyFont="1" applyFill="1" applyBorder="1" applyAlignment="1" applyProtection="1">
      <alignment vertical="center" wrapText="1"/>
      <protection locked="0"/>
    </xf>
    <xf numFmtId="6" fontId="28" fillId="13" borderId="125" xfId="1" applyNumberFormat="1" applyFont="1" applyFill="1" applyBorder="1" applyAlignment="1" applyProtection="1">
      <alignment vertical="center"/>
      <protection locked="0"/>
    </xf>
    <xf numFmtId="6" fontId="28" fillId="12" borderId="125" xfId="0" applyNumberFormat="1" applyFont="1" applyFill="1" applyBorder="1" applyAlignment="1" applyProtection="1">
      <alignment vertical="center"/>
    </xf>
    <xf numFmtId="0" fontId="28" fillId="0" borderId="125" xfId="0" applyFont="1" applyBorder="1" applyAlignment="1" applyProtection="1">
      <alignment horizontal="left" vertical="center"/>
      <protection locked="0"/>
    </xf>
    <xf numFmtId="0" fontId="27" fillId="0" borderId="125" xfId="0" applyFont="1" applyBorder="1" applyProtection="1"/>
    <xf numFmtId="0" fontId="27" fillId="0" borderId="0" xfId="0" applyFont="1" applyFill="1" applyBorder="1" applyProtection="1">
      <protection locked="0"/>
    </xf>
    <xf numFmtId="0" fontId="27" fillId="0" borderId="33" xfId="0" applyFont="1" applyBorder="1" applyProtection="1">
      <protection locked="0"/>
    </xf>
    <xf numFmtId="0" fontId="27" fillId="0" borderId="129" xfId="0" applyFont="1" applyBorder="1" applyProtection="1"/>
    <xf numFmtId="0" fontId="29" fillId="0" borderId="129" xfId="0" applyFont="1" applyBorder="1" applyAlignment="1" applyProtection="1">
      <alignment vertical="center" wrapText="1"/>
    </xf>
    <xf numFmtId="0" fontId="27" fillId="0" borderId="7" xfId="0" applyFont="1" applyBorder="1" applyProtection="1"/>
    <xf numFmtId="6" fontId="28" fillId="0" borderId="10" xfId="1" applyNumberFormat="1" applyFont="1" applyFill="1" applyBorder="1" applyAlignment="1" applyProtection="1">
      <alignment vertical="center"/>
      <protection locked="0"/>
    </xf>
    <xf numFmtId="6" fontId="28" fillId="0" borderId="10" xfId="0" applyNumberFormat="1" applyFont="1" applyFill="1" applyBorder="1" applyAlignment="1" applyProtection="1">
      <alignment vertical="center"/>
    </xf>
    <xf numFmtId="0" fontId="28" fillId="0" borderId="10" xfId="0" applyFont="1" applyBorder="1" applyAlignment="1" applyProtection="1">
      <alignment horizontal="left" vertical="center"/>
      <protection locked="0"/>
    </xf>
    <xf numFmtId="0" fontId="27" fillId="0" borderId="67" xfId="0" applyFont="1" applyBorder="1" applyProtection="1">
      <protection locked="0"/>
    </xf>
    <xf numFmtId="0" fontId="32" fillId="0" borderId="33" xfId="0" applyFont="1" applyFill="1" applyBorder="1" applyProtection="1">
      <protection locked="0"/>
    </xf>
    <xf numFmtId="0" fontId="32" fillId="0" borderId="0" xfId="0" applyFont="1" applyFill="1" applyBorder="1" applyProtection="1">
      <protection locked="0"/>
    </xf>
    <xf numFmtId="14" fontId="16" fillId="0" borderId="0" xfId="5" applyNumberFormat="1"/>
    <xf numFmtId="0" fontId="27" fillId="9" borderId="125" xfId="0" applyFont="1" applyFill="1" applyBorder="1" applyAlignment="1" applyProtection="1">
      <alignment horizontal="left" vertical="center"/>
    </xf>
    <xf numFmtId="0" fontId="24" fillId="12" borderId="125" xfId="57" applyFont="1" applyFill="1" applyBorder="1" applyAlignment="1" applyProtection="1">
      <alignment vertical="center"/>
    </xf>
    <xf numFmtId="0" fontId="27" fillId="0" borderId="125" xfId="0" applyFont="1" applyFill="1" applyBorder="1" applyAlignment="1" applyProtection="1">
      <alignment horizontal="left" vertical="center" wrapText="1"/>
    </xf>
    <xf numFmtId="0" fontId="36" fillId="9" borderId="125" xfId="0" applyFont="1" applyFill="1" applyBorder="1" applyAlignment="1" applyProtection="1">
      <alignment horizontal="left" vertical="center" wrapText="1"/>
    </xf>
    <xf numFmtId="168" fontId="29" fillId="16" borderId="114" xfId="0" applyNumberFormat="1" applyFont="1" applyFill="1" applyBorder="1" applyAlignment="1" applyProtection="1">
      <alignment horizontal="center" vertical="center" wrapText="1"/>
    </xf>
    <xf numFmtId="0" fontId="29" fillId="16" borderId="114" xfId="0" applyFont="1" applyFill="1" applyBorder="1" applyAlignment="1" applyProtection="1">
      <alignment horizontal="center" vertical="center" wrapText="1"/>
    </xf>
    <xf numFmtId="168" fontId="29" fillId="17" borderId="114" xfId="0" applyNumberFormat="1" applyFont="1" applyFill="1" applyBorder="1" applyAlignment="1" applyProtection="1">
      <alignment horizontal="center" vertical="center" wrapText="1"/>
    </xf>
    <xf numFmtId="0" fontId="27" fillId="0" borderId="114" xfId="0" applyFont="1" applyBorder="1" applyProtection="1">
      <protection locked="0"/>
    </xf>
    <xf numFmtId="0" fontId="27" fillId="0" borderId="114" xfId="0" applyFont="1" applyFill="1" applyBorder="1" applyProtection="1">
      <protection locked="0"/>
    </xf>
    <xf numFmtId="0" fontId="32" fillId="0" borderId="114" xfId="0" applyFont="1" applyFill="1" applyBorder="1" applyProtection="1">
      <protection locked="0"/>
    </xf>
    <xf numFmtId="0" fontId="63" fillId="0" borderId="0" xfId="0" applyFont="1" applyAlignment="1" applyProtection="1">
      <alignment horizontal="left" vertical="center"/>
    </xf>
    <xf numFmtId="0" fontId="29" fillId="16" borderId="65" xfId="0" applyFont="1" applyFill="1" applyBorder="1" applyAlignment="1" applyProtection="1">
      <alignment horizontal="center" vertical="center" wrapText="1"/>
    </xf>
    <xf numFmtId="0" fontId="33" fillId="9" borderId="0" xfId="0" applyFont="1" applyFill="1" applyBorder="1" applyAlignment="1" applyProtection="1">
      <alignment vertical="center" wrapText="1"/>
    </xf>
    <xf numFmtId="0" fontId="29" fillId="9" borderId="8" xfId="0" applyFont="1" applyFill="1" applyBorder="1" applyAlignment="1" applyProtection="1">
      <alignment vertical="center" wrapText="1"/>
    </xf>
    <xf numFmtId="15" fontId="28" fillId="9" borderId="8" xfId="0" applyNumberFormat="1" applyFont="1" applyFill="1" applyBorder="1" applyAlignment="1" applyProtection="1">
      <alignment horizontal="left" vertical="center" wrapText="1"/>
    </xf>
    <xf numFmtId="15" fontId="28" fillId="9" borderId="5" xfId="0" applyNumberFormat="1" applyFont="1" applyFill="1" applyBorder="1" applyAlignment="1" applyProtection="1">
      <alignment vertical="center" wrapText="1"/>
    </xf>
    <xf numFmtId="0" fontId="28" fillId="9" borderId="44" xfId="0" applyFont="1" applyFill="1" applyBorder="1" applyAlignment="1" applyProtection="1">
      <alignment horizontal="left" vertical="center" wrapText="1"/>
    </xf>
    <xf numFmtId="0" fontId="29" fillId="9" borderId="10" xfId="0" applyFont="1" applyFill="1" applyBorder="1" applyAlignment="1" applyProtection="1">
      <alignment vertical="center" wrapText="1"/>
    </xf>
    <xf numFmtId="15" fontId="28" fillId="9" borderId="10" xfId="0" applyNumberFormat="1" applyFont="1" applyFill="1" applyBorder="1" applyAlignment="1" applyProtection="1">
      <alignment horizontal="left" vertical="center" wrapText="1"/>
    </xf>
    <xf numFmtId="15" fontId="28" fillId="9" borderId="72" xfId="0" applyNumberFormat="1" applyFont="1" applyFill="1" applyBorder="1" applyAlignment="1" applyProtection="1">
      <alignment vertical="center" wrapText="1"/>
    </xf>
    <xf numFmtId="0" fontId="28" fillId="9" borderId="67" xfId="0" applyFont="1" applyFill="1" applyBorder="1" applyAlignment="1" applyProtection="1">
      <alignment horizontal="left" vertical="center" wrapText="1"/>
    </xf>
    <xf numFmtId="0" fontId="29" fillId="9" borderId="45" xfId="0" applyFont="1" applyFill="1" applyBorder="1" applyAlignment="1" applyProtection="1">
      <alignment vertical="center" wrapText="1"/>
    </xf>
    <xf numFmtId="15" fontId="28" fillId="9" borderId="45" xfId="0" applyNumberFormat="1" applyFont="1" applyFill="1" applyBorder="1" applyAlignment="1" applyProtection="1">
      <alignment horizontal="left" vertical="center" wrapText="1"/>
    </xf>
    <xf numFmtId="0" fontId="29" fillId="24" borderId="3" xfId="0" applyFont="1" applyFill="1" applyBorder="1" applyAlignment="1" applyProtection="1">
      <alignment vertical="center" wrapText="1"/>
    </xf>
    <xf numFmtId="15" fontId="28" fillId="24" borderId="3" xfId="0" applyNumberFormat="1" applyFont="1" applyFill="1" applyBorder="1" applyAlignment="1" applyProtection="1">
      <alignment horizontal="left" vertical="center" wrapText="1"/>
    </xf>
    <xf numFmtId="15" fontId="28" fillId="24" borderId="3" xfId="0" applyNumberFormat="1" applyFont="1" applyFill="1" applyBorder="1" applyAlignment="1" applyProtection="1">
      <alignment vertical="center" wrapText="1"/>
    </xf>
    <xf numFmtId="0" fontId="29" fillId="24" borderId="42" xfId="0" applyFont="1" applyFill="1" applyBorder="1" applyAlignment="1" applyProtection="1">
      <alignment vertical="center" wrapText="1"/>
    </xf>
    <xf numFmtId="15" fontId="28" fillId="24" borderId="42" xfId="0" applyNumberFormat="1" applyFont="1" applyFill="1" applyBorder="1" applyAlignment="1" applyProtection="1">
      <alignment horizontal="left" vertical="center" wrapText="1"/>
    </xf>
    <xf numFmtId="15" fontId="28" fillId="24" borderId="42" xfId="0" applyNumberFormat="1" applyFont="1" applyFill="1" applyBorder="1" applyAlignment="1" applyProtection="1">
      <alignment vertical="center" wrapText="1"/>
    </xf>
    <xf numFmtId="0" fontId="33" fillId="9" borderId="33" xfId="0" applyFont="1" applyFill="1" applyBorder="1" applyAlignment="1" applyProtection="1">
      <alignment vertical="center" wrapText="1"/>
    </xf>
    <xf numFmtId="0" fontId="33" fillId="9" borderId="44" xfId="0" applyFont="1" applyFill="1" applyBorder="1" applyAlignment="1" applyProtection="1">
      <alignment vertical="center" wrapText="1"/>
    </xf>
    <xf numFmtId="0" fontId="33" fillId="9" borderId="10" xfId="0" applyFont="1" applyFill="1" applyBorder="1" applyAlignment="1" applyProtection="1">
      <alignment vertical="center" wrapText="1"/>
    </xf>
    <xf numFmtId="0" fontId="33" fillId="9" borderId="67" xfId="0" applyFont="1" applyFill="1" applyBorder="1" applyAlignment="1" applyProtection="1">
      <alignment vertical="center" wrapText="1"/>
    </xf>
    <xf numFmtId="0" fontId="29" fillId="16" borderId="55" xfId="0" applyNumberFormat="1" applyFont="1" applyFill="1" applyBorder="1" applyAlignment="1" applyProtection="1">
      <alignment horizontal="center" vertical="center"/>
    </xf>
    <xf numFmtId="0" fontId="29" fillId="24" borderId="8" xfId="0" applyFont="1" applyFill="1" applyBorder="1" applyAlignment="1" applyProtection="1">
      <alignment vertical="center" wrapText="1"/>
    </xf>
    <xf numFmtId="15" fontId="28" fillId="24" borderId="8" xfId="0" applyNumberFormat="1" applyFont="1" applyFill="1" applyBorder="1" applyAlignment="1" applyProtection="1">
      <alignment horizontal="left" vertical="center" wrapText="1"/>
    </xf>
    <xf numFmtId="0" fontId="29" fillId="24" borderId="45" xfId="0" applyFont="1" applyFill="1" applyBorder="1" applyAlignment="1" applyProtection="1">
      <alignment vertical="center" wrapText="1"/>
    </xf>
    <xf numFmtId="15" fontId="28" fillId="24" borderId="45" xfId="0" applyNumberFormat="1" applyFont="1" applyFill="1" applyBorder="1" applyAlignment="1" applyProtection="1">
      <alignment horizontal="left" vertical="center" wrapText="1"/>
    </xf>
    <xf numFmtId="0" fontId="33" fillId="8" borderId="55" xfId="6" applyFont="1" applyFill="1" applyBorder="1" applyAlignment="1" applyProtection="1">
      <alignment vertical="center"/>
    </xf>
    <xf numFmtId="0" fontId="33" fillId="8" borderId="58" xfId="6" applyFont="1" applyFill="1" applyBorder="1" applyAlignment="1" applyProtection="1">
      <alignment vertical="center"/>
    </xf>
    <xf numFmtId="0" fontId="27" fillId="8" borderId="58" xfId="5" applyFont="1" applyFill="1" applyBorder="1" applyAlignment="1" applyProtection="1">
      <alignment vertical="center"/>
    </xf>
    <xf numFmtId="0" fontId="27" fillId="8" borderId="66" xfId="5" applyFont="1" applyFill="1" applyBorder="1" applyAlignment="1" applyProtection="1">
      <alignment vertical="center"/>
    </xf>
    <xf numFmtId="0" fontId="33" fillId="24" borderId="58" xfId="6" applyFont="1" applyFill="1" applyBorder="1" applyAlignment="1" applyProtection="1">
      <alignment vertical="center"/>
    </xf>
    <xf numFmtId="0" fontId="28" fillId="24" borderId="58" xfId="5" applyFont="1" applyFill="1" applyBorder="1" applyProtection="1">
      <protection locked="0"/>
    </xf>
    <xf numFmtId="0" fontId="33" fillId="8" borderId="33" xfId="6" applyFont="1" applyFill="1" applyBorder="1" applyAlignment="1" applyProtection="1">
      <alignment vertical="center"/>
    </xf>
    <xf numFmtId="0" fontId="33" fillId="13" borderId="36" xfId="6" applyFont="1" applyFill="1" applyBorder="1" applyAlignment="1" applyProtection="1">
      <alignment horizontal="center" vertical="center" wrapText="1"/>
      <protection locked="0"/>
    </xf>
    <xf numFmtId="0" fontId="29" fillId="24" borderId="8" xfId="0" applyFont="1" applyFill="1" applyBorder="1" applyAlignment="1" applyProtection="1">
      <alignment horizontal="right" vertical="center" wrapText="1"/>
    </xf>
    <xf numFmtId="15" fontId="28" fillId="24" borderId="5" xfId="0" applyNumberFormat="1" applyFont="1" applyFill="1" applyBorder="1" applyAlignment="1" applyProtection="1">
      <alignment vertical="center" wrapText="1"/>
    </xf>
    <xf numFmtId="0" fontId="29" fillId="24" borderId="10" xfId="0" applyFont="1" applyFill="1" applyBorder="1" applyAlignment="1" applyProtection="1">
      <alignment horizontal="right" vertical="center" wrapText="1"/>
    </xf>
    <xf numFmtId="0" fontId="27" fillId="24" borderId="10" xfId="5" applyFont="1" applyFill="1" applyBorder="1" applyProtection="1"/>
    <xf numFmtId="15" fontId="28" fillId="24" borderId="72" xfId="0" applyNumberFormat="1" applyFont="1" applyFill="1" applyBorder="1" applyAlignment="1" applyProtection="1">
      <alignment vertical="center" wrapText="1"/>
    </xf>
    <xf numFmtId="0" fontId="33" fillId="8" borderId="40" xfId="6" applyFont="1" applyFill="1" applyBorder="1" applyAlignment="1" applyProtection="1">
      <alignment vertical="center"/>
    </xf>
    <xf numFmtId="0" fontId="27" fillId="24" borderId="33" xfId="5" applyFont="1" applyFill="1" applyBorder="1" applyAlignment="1" applyProtection="1">
      <alignment vertical="center"/>
    </xf>
    <xf numFmtId="0" fontId="27" fillId="24" borderId="44" xfId="5" applyFont="1" applyFill="1" applyBorder="1" applyAlignment="1" applyProtection="1">
      <alignment vertical="center"/>
    </xf>
    <xf numFmtId="0" fontId="27" fillId="24" borderId="67" xfId="5" applyFont="1" applyFill="1" applyBorder="1" applyProtection="1"/>
    <xf numFmtId="0" fontId="26" fillId="8" borderId="40" xfId="6" applyFont="1" applyFill="1" applyBorder="1" applyAlignment="1" applyProtection="1">
      <alignment vertical="center"/>
    </xf>
    <xf numFmtId="0" fontId="29" fillId="24" borderId="36" xfId="6" applyFont="1" applyFill="1" applyBorder="1" applyAlignment="1" applyProtection="1">
      <alignment horizontal="center" vertical="center" wrapText="1"/>
    </xf>
    <xf numFmtId="15" fontId="43" fillId="8" borderId="8" xfId="6" applyNumberFormat="1" applyFont="1" applyFill="1" applyBorder="1" applyAlignment="1" applyProtection="1">
      <alignment vertical="center"/>
    </xf>
    <xf numFmtId="0" fontId="43" fillId="8" borderId="8" xfId="6" applyFont="1" applyFill="1" applyBorder="1" applyAlignment="1" applyProtection="1">
      <alignment horizontal="right" vertical="center"/>
    </xf>
    <xf numFmtId="0" fontId="39" fillId="8" borderId="8" xfId="57" applyFont="1" applyFill="1" applyBorder="1" applyProtection="1"/>
    <xf numFmtId="15" fontId="43" fillId="8" borderId="5" xfId="6" applyNumberFormat="1" applyFont="1" applyFill="1" applyBorder="1" applyAlignment="1" applyProtection="1">
      <alignment vertical="center"/>
    </xf>
    <xf numFmtId="0" fontId="43" fillId="8" borderId="33" xfId="6" applyFont="1" applyFill="1" applyBorder="1" applyAlignment="1" applyProtection="1">
      <alignment vertical="center"/>
    </xf>
    <xf numFmtId="0" fontId="39" fillId="8" borderId="33" xfId="57" applyFont="1" applyFill="1" applyBorder="1" applyProtection="1"/>
    <xf numFmtId="0" fontId="39" fillId="8" borderId="44" xfId="57" applyFont="1" applyFill="1" applyBorder="1" applyProtection="1"/>
    <xf numFmtId="15" fontId="43" fillId="8" borderId="10" xfId="6" applyNumberFormat="1" applyFont="1" applyFill="1" applyBorder="1" applyAlignment="1" applyProtection="1">
      <alignment vertical="center"/>
    </xf>
    <xf numFmtId="0" fontId="43" fillId="8" borderId="10" xfId="6" applyFont="1" applyFill="1" applyBorder="1" applyAlignment="1" applyProtection="1">
      <alignment horizontal="right" vertical="center"/>
    </xf>
    <xf numFmtId="0" fontId="39" fillId="8" borderId="10" xfId="57" applyFont="1" applyFill="1" applyBorder="1" applyProtection="1"/>
    <xf numFmtId="0" fontId="69" fillId="13" borderId="36" xfId="57" applyFont="1" applyFill="1" applyBorder="1" applyAlignment="1" applyProtection="1">
      <alignment horizontal="center" vertical="center"/>
      <protection locked="0"/>
    </xf>
    <xf numFmtId="0" fontId="33" fillId="8" borderId="7" xfId="6" applyFont="1" applyFill="1" applyBorder="1" applyAlignment="1" applyProtection="1">
      <alignment vertical="center"/>
    </xf>
    <xf numFmtId="0" fontId="33" fillId="8" borderId="10" xfId="6" applyFont="1" applyFill="1" applyBorder="1" applyAlignment="1" applyProtection="1">
      <alignment vertical="center"/>
    </xf>
    <xf numFmtId="0" fontId="63" fillId="24" borderId="33" xfId="0" applyFont="1" applyFill="1" applyBorder="1" applyAlignment="1" applyProtection="1">
      <alignment vertical="center" wrapText="1"/>
    </xf>
    <xf numFmtId="0" fontId="63" fillId="24" borderId="44" xfId="0" applyFont="1" applyFill="1" applyBorder="1" applyAlignment="1" applyProtection="1">
      <alignment vertical="center" wrapText="1"/>
    </xf>
    <xf numFmtId="0" fontId="63" fillId="24" borderId="10" xfId="0" applyFont="1" applyFill="1" applyBorder="1" applyAlignment="1" applyProtection="1">
      <alignment horizontal="left" vertical="center" wrapText="1"/>
    </xf>
    <xf numFmtId="0" fontId="63" fillId="24" borderId="67" xfId="0" applyFont="1" applyFill="1" applyBorder="1" applyAlignment="1" applyProtection="1">
      <alignment horizontal="left" vertical="center" wrapText="1"/>
    </xf>
    <xf numFmtId="0" fontId="97" fillId="2" borderId="0" xfId="0" applyNumberFormat="1" applyFont="1" applyFill="1" applyAlignment="1" applyProtection="1">
      <alignment wrapText="1"/>
    </xf>
    <xf numFmtId="0" fontId="98" fillId="2" borderId="0" xfId="0" applyFont="1" applyFill="1" applyProtection="1"/>
    <xf numFmtId="0" fontId="99" fillId="2" borderId="0" xfId="0" applyFont="1" applyFill="1" applyAlignment="1" applyProtection="1">
      <alignment wrapText="1"/>
    </xf>
    <xf numFmtId="0" fontId="98" fillId="2" borderId="0" xfId="0" applyFont="1" applyFill="1" applyProtection="1">
      <protection hidden="1"/>
    </xf>
    <xf numFmtId="0" fontId="97" fillId="2" borderId="0" xfId="0" applyFont="1" applyFill="1" applyAlignment="1" applyProtection="1">
      <alignment wrapText="1"/>
    </xf>
    <xf numFmtId="0" fontId="100" fillId="2" borderId="0" xfId="0" applyFont="1" applyFill="1" applyAlignment="1" applyProtection="1">
      <alignment wrapText="1"/>
    </xf>
    <xf numFmtId="0" fontId="101" fillId="2" borderId="0" xfId="0" applyFont="1" applyFill="1" applyBorder="1" applyAlignment="1" applyProtection="1">
      <alignment horizontal="left" vertical="top" wrapText="1"/>
    </xf>
    <xf numFmtId="6" fontId="28" fillId="12" borderId="1" xfId="56" applyNumberFormat="1" applyFont="1" applyFill="1" applyBorder="1" applyAlignment="1" applyProtection="1">
      <alignment vertical="center"/>
    </xf>
    <xf numFmtId="0" fontId="27" fillId="2" borderId="114" xfId="0" applyFont="1" applyFill="1" applyBorder="1" applyAlignment="1" applyProtection="1">
      <alignment wrapText="1"/>
      <protection locked="0"/>
    </xf>
    <xf numFmtId="49" fontId="79" fillId="13" borderId="99" xfId="5" applyNumberFormat="1" applyFont="1" applyFill="1" applyBorder="1" applyAlignment="1" applyProtection="1">
      <alignment vertical="center" wrapText="1"/>
      <protection locked="0"/>
    </xf>
    <xf numFmtId="15" fontId="28" fillId="24" borderId="48" xfId="0" applyNumberFormat="1" applyFont="1" applyFill="1" applyBorder="1" applyAlignment="1" applyProtection="1">
      <alignment vertical="center" wrapText="1"/>
    </xf>
    <xf numFmtId="15" fontId="28" fillId="24" borderId="46" xfId="0" applyNumberFormat="1" applyFont="1" applyFill="1" applyBorder="1" applyAlignment="1" applyProtection="1">
      <alignment vertical="center" wrapText="1"/>
    </xf>
    <xf numFmtId="174" fontId="24" fillId="12" borderId="99" xfId="5" applyNumberFormat="1" applyFont="1" applyFill="1" applyBorder="1" applyAlignment="1" applyProtection="1">
      <alignment vertical="center"/>
      <protection locked="0"/>
    </xf>
    <xf numFmtId="0" fontId="27" fillId="9" borderId="102" xfId="5" applyFont="1" applyFill="1" applyBorder="1" applyAlignment="1" applyProtection="1">
      <alignment horizontal="left" vertical="center" wrapText="1"/>
    </xf>
    <xf numFmtId="0" fontId="28" fillId="9" borderId="102" xfId="5" applyFont="1" applyFill="1" applyBorder="1" applyAlignment="1" applyProtection="1">
      <alignment horizontal="left" vertical="top" wrapText="1"/>
    </xf>
    <xf numFmtId="0" fontId="24" fillId="0" borderId="87" xfId="0" applyFont="1" applyFill="1" applyBorder="1" applyAlignment="1" applyProtection="1">
      <alignment horizontal="left" vertical="center" wrapText="1"/>
    </xf>
    <xf numFmtId="0" fontId="95" fillId="0" borderId="0" xfId="57" quotePrefix="1" applyFont="1" applyAlignment="1" applyProtection="1">
      <alignment horizontal="left"/>
    </xf>
    <xf numFmtId="0" fontId="95" fillId="0" borderId="0" xfId="57" applyFont="1" applyProtection="1"/>
    <xf numFmtId="0" fontId="102" fillId="0" borderId="0" xfId="57" applyFont="1" applyProtection="1"/>
    <xf numFmtId="0" fontId="103" fillId="0" borderId="0" xfId="57" applyFont="1" applyProtection="1"/>
    <xf numFmtId="0" fontId="28" fillId="8" borderId="99" xfId="0" quotePrefix="1" applyNumberFormat="1" applyFont="1" applyFill="1" applyBorder="1" applyAlignment="1" applyProtection="1">
      <alignment horizontal="left" vertical="center" wrapText="1"/>
    </xf>
    <xf numFmtId="0" fontId="34" fillId="0" borderId="0" xfId="0" quotePrefix="1" applyFont="1" applyFill="1" applyBorder="1" applyAlignment="1" applyProtection="1">
      <alignment horizontal="left" vertical="center"/>
    </xf>
    <xf numFmtId="0" fontId="29" fillId="4" borderId="100" xfId="0" quotePrefix="1" applyFont="1" applyFill="1" applyBorder="1" applyAlignment="1" applyProtection="1">
      <alignment horizontal="center" vertical="center" wrapText="1"/>
    </xf>
    <xf numFmtId="0" fontId="52" fillId="2" borderId="1" xfId="0" quotePrefix="1" applyFont="1" applyFill="1" applyBorder="1" applyAlignment="1" applyProtection="1">
      <alignment horizontal="center" wrapText="1"/>
      <protection locked="0"/>
    </xf>
    <xf numFmtId="0" fontId="29" fillId="6" borderId="92" xfId="0" applyFont="1" applyFill="1" applyBorder="1" applyAlignment="1" applyProtection="1">
      <alignment vertical="center" wrapText="1"/>
    </xf>
    <xf numFmtId="0" fontId="29" fillId="6" borderId="71" xfId="0" applyFont="1" applyFill="1" applyBorder="1" applyAlignment="1" applyProtection="1">
      <alignment vertical="center" wrapText="1"/>
      <protection locked="0"/>
    </xf>
    <xf numFmtId="0" fontId="28" fillId="0" borderId="8" xfId="0" applyFont="1" applyFill="1" applyBorder="1" applyAlignment="1" applyProtection="1">
      <alignment vertical="center" wrapText="1"/>
    </xf>
    <xf numFmtId="169" fontId="29" fillId="6" borderId="16" xfId="0" applyNumberFormat="1" applyFont="1" applyFill="1" applyBorder="1" applyAlignment="1" applyProtection="1">
      <alignment vertical="center" wrapText="1"/>
    </xf>
    <xf numFmtId="0" fontId="28" fillId="0" borderId="35" xfId="0" applyFont="1" applyFill="1" applyBorder="1" applyAlignment="1" applyProtection="1">
      <alignment vertical="center" wrapText="1"/>
    </xf>
    <xf numFmtId="0" fontId="28" fillId="0" borderId="4" xfId="0" applyFont="1" applyBorder="1" applyAlignment="1" applyProtection="1">
      <alignment vertical="center" wrapText="1"/>
      <protection locked="0"/>
    </xf>
    <xf numFmtId="169" fontId="28" fillId="6" borderId="4" xfId="0" applyNumberFormat="1" applyFont="1" applyFill="1" applyBorder="1" applyAlignment="1" applyProtection="1">
      <alignment vertical="center" wrapText="1"/>
      <protection locked="0"/>
    </xf>
    <xf numFmtId="169" fontId="29" fillId="6" borderId="53" xfId="0" applyNumberFormat="1" applyFont="1" applyFill="1" applyBorder="1" applyAlignment="1" applyProtection="1">
      <alignment vertical="center" wrapText="1"/>
      <protection locked="0"/>
    </xf>
    <xf numFmtId="169" fontId="76" fillId="0" borderId="0" xfId="0" applyNumberFormat="1" applyFont="1" applyFill="1" applyBorder="1" applyAlignment="1" applyProtection="1">
      <alignment vertical="center" wrapText="1"/>
    </xf>
    <xf numFmtId="0" fontId="28" fillId="6" borderId="37" xfId="0" applyFont="1" applyFill="1" applyBorder="1" applyAlignment="1" applyProtection="1">
      <alignment vertical="center" wrapText="1"/>
      <protection locked="0"/>
    </xf>
    <xf numFmtId="0" fontId="29" fillId="6" borderId="46" xfId="0" applyFont="1" applyFill="1" applyBorder="1" applyAlignment="1" applyProtection="1">
      <alignment vertical="center" wrapText="1"/>
      <protection locked="0"/>
    </xf>
    <xf numFmtId="169" fontId="29" fillId="0" borderId="45" xfId="0" applyNumberFormat="1" applyFont="1" applyFill="1" applyBorder="1" applyAlignment="1" applyProtection="1">
      <alignment vertical="center" wrapText="1"/>
      <protection locked="0"/>
    </xf>
    <xf numFmtId="169" fontId="28" fillId="0" borderId="16" xfId="0" applyNumberFormat="1" applyFont="1" applyFill="1" applyBorder="1" applyAlignment="1" applyProtection="1">
      <alignment vertical="center" wrapText="1"/>
      <protection locked="0"/>
    </xf>
    <xf numFmtId="169" fontId="29" fillId="6" borderId="68" xfId="0" applyNumberFormat="1" applyFont="1" applyFill="1" applyBorder="1" applyAlignment="1" applyProtection="1">
      <alignment vertical="center" wrapText="1"/>
      <protection locked="0"/>
    </xf>
    <xf numFmtId="169" fontId="29" fillId="0" borderId="71" xfId="0" applyNumberFormat="1" applyFont="1" applyFill="1" applyBorder="1" applyAlignment="1" applyProtection="1">
      <alignment vertical="center" wrapText="1"/>
      <protection locked="0"/>
    </xf>
    <xf numFmtId="0" fontId="28" fillId="0" borderId="125" xfId="0" applyFont="1" applyBorder="1" applyAlignment="1" applyProtection="1">
      <alignment horizontal="left" vertical="center" wrapText="1"/>
      <protection locked="0"/>
    </xf>
    <xf numFmtId="0" fontId="29" fillId="4" borderId="114" xfId="0" quotePrefix="1" applyFont="1" applyFill="1" applyBorder="1" applyAlignment="1" applyProtection="1">
      <alignment horizontal="center" vertical="center" wrapText="1"/>
    </xf>
    <xf numFmtId="0" fontId="27" fillId="0" borderId="125" xfId="0" applyFont="1" applyBorder="1" applyAlignment="1" applyProtection="1">
      <alignment wrapText="1"/>
    </xf>
    <xf numFmtId="0" fontId="27" fillId="2" borderId="114" xfId="0" applyFont="1" applyFill="1" applyBorder="1" applyAlignment="1" applyProtection="1">
      <alignment horizontal="left" vertical="center" wrapText="1"/>
      <protection locked="0"/>
    </xf>
    <xf numFmtId="0" fontId="28" fillId="8" borderId="114" xfId="0" applyFont="1" applyFill="1" applyBorder="1" applyAlignment="1" applyProtection="1">
      <alignment horizontal="left" vertical="center" wrapText="1"/>
    </xf>
    <xf numFmtId="0" fontId="27" fillId="8" borderId="114" xfId="0" applyFont="1" applyFill="1" applyBorder="1" applyAlignment="1" applyProtection="1">
      <alignment horizontal="left" wrapText="1"/>
      <protection locked="0"/>
    </xf>
    <xf numFmtId="49" fontId="28" fillId="13" borderId="99" xfId="5" applyNumberFormat="1" applyFont="1" applyFill="1" applyBorder="1" applyAlignment="1" applyProtection="1">
      <alignment horizontal="left" vertical="center" wrapText="1"/>
      <protection locked="0"/>
    </xf>
    <xf numFmtId="49" fontId="24" fillId="13" borderId="99" xfId="5" applyNumberFormat="1" applyFont="1" applyFill="1" applyBorder="1" applyAlignment="1" applyProtection="1">
      <alignment horizontal="left" vertical="center" wrapText="1"/>
      <protection locked="0"/>
    </xf>
    <xf numFmtId="0" fontId="39" fillId="0" borderId="125" xfId="57" applyFont="1" applyBorder="1" applyAlignment="1" applyProtection="1">
      <alignment horizontal="left" vertical="center" wrapText="1"/>
    </xf>
    <xf numFmtId="0" fontId="39" fillId="0" borderId="125" xfId="57" applyFont="1" applyFill="1" applyBorder="1" applyAlignment="1" applyProtection="1">
      <alignment horizontal="left" vertical="center" wrapText="1"/>
    </xf>
    <xf numFmtId="0" fontId="65" fillId="10" borderId="0" xfId="5" applyFont="1" applyFill="1" applyAlignment="1" applyProtection="1">
      <alignment horizontal="center" vertical="center" wrapText="1"/>
    </xf>
    <xf numFmtId="0" fontId="65" fillId="0" borderId="0" xfId="0" applyFont="1" applyAlignment="1" applyProtection="1">
      <alignment horizontal="center" vertical="center"/>
    </xf>
    <xf numFmtId="0" fontId="69" fillId="0" borderId="0" xfId="5" applyFont="1" applyAlignment="1" applyProtection="1">
      <alignment horizontal="center" vertical="center"/>
    </xf>
    <xf numFmtId="0" fontId="65" fillId="10" borderId="0" xfId="0" applyFont="1" applyFill="1" applyAlignment="1" applyProtection="1">
      <alignment horizontal="center" vertical="center" wrapText="1"/>
    </xf>
    <xf numFmtId="0" fontId="39" fillId="0" borderId="0" xfId="57" applyFont="1" applyAlignment="1" applyProtection="1">
      <alignment wrapText="1"/>
    </xf>
    <xf numFmtId="0" fontId="39" fillId="0" borderId="0" xfId="57" applyFont="1" applyFill="1" applyBorder="1" applyAlignment="1" applyProtection="1">
      <alignment wrapText="1"/>
    </xf>
    <xf numFmtId="0" fontId="69" fillId="10" borderId="0" xfId="5" applyFont="1" applyFill="1" applyAlignment="1" applyProtection="1">
      <alignment horizontal="center" vertical="center" wrapText="1"/>
    </xf>
    <xf numFmtId="0" fontId="28" fillId="0" borderId="0" xfId="5" applyFont="1" applyAlignment="1" applyProtection="1">
      <alignment wrapText="1"/>
    </xf>
    <xf numFmtId="0" fontId="28" fillId="0" borderId="0" xfId="5" applyFont="1" applyAlignment="1" applyProtection="1">
      <alignment wrapText="1"/>
      <protection locked="0"/>
    </xf>
    <xf numFmtId="0" fontId="27" fillId="0" borderId="0" xfId="5" applyFont="1" applyAlignment="1" applyProtection="1">
      <alignment wrapText="1"/>
    </xf>
    <xf numFmtId="0" fontId="27" fillId="0" borderId="0" xfId="5" applyFont="1" applyFill="1" applyBorder="1" applyAlignment="1" applyProtection="1">
      <alignment wrapText="1"/>
    </xf>
    <xf numFmtId="0" fontId="65" fillId="0" borderId="0" xfId="0" applyFont="1" applyAlignment="1" applyProtection="1">
      <alignment horizontal="left" vertical="center"/>
    </xf>
    <xf numFmtId="0" fontId="65" fillId="0" borderId="0" xfId="5" applyFont="1" applyAlignment="1" applyProtection="1">
      <alignment horizontal="left" vertical="center"/>
    </xf>
    <xf numFmtId="0" fontId="65" fillId="0" borderId="0" xfId="0" quotePrefix="1" applyFont="1" applyAlignment="1" applyProtection="1">
      <alignment horizontal="center" vertical="center"/>
    </xf>
    <xf numFmtId="15" fontId="24" fillId="6" borderId="1" xfId="0" applyNumberFormat="1" applyFont="1" applyFill="1" applyBorder="1" applyAlignment="1" applyProtection="1">
      <alignment horizontal="left" indent="1"/>
    </xf>
    <xf numFmtId="15" fontId="24" fillId="6" borderId="6" xfId="0" applyNumberFormat="1" applyFont="1" applyFill="1" applyBorder="1" applyAlignment="1" applyProtection="1">
      <alignment horizontal="left" indent="1"/>
    </xf>
    <xf numFmtId="15" fontId="24" fillId="6" borderId="16" xfId="0" applyNumberFormat="1" applyFont="1" applyFill="1" applyBorder="1" applyAlignment="1" applyProtection="1">
      <alignment horizontal="left" indent="1"/>
    </xf>
    <xf numFmtId="0" fontId="79" fillId="19" borderId="1" xfId="58" applyFont="1" applyFill="1" applyBorder="1" applyAlignment="1" applyProtection="1">
      <alignment horizontal="center" vertical="center" wrapText="1"/>
      <protection locked="0"/>
    </xf>
    <xf numFmtId="0" fontId="79" fillId="19" borderId="1" xfId="58" applyFont="1" applyFill="1" applyBorder="1" applyAlignment="1" applyProtection="1">
      <alignment horizontal="center" vertical="top" wrapText="1"/>
      <protection locked="0"/>
    </xf>
    <xf numFmtId="0" fontId="79" fillId="0" borderId="1" xfId="58" applyFont="1" applyBorder="1" applyAlignment="1" applyProtection="1">
      <alignment horizontal="center" vertical="center" wrapText="1"/>
      <protection locked="0"/>
    </xf>
    <xf numFmtId="0" fontId="79" fillId="0" borderId="1" xfId="58" applyFont="1" applyBorder="1" applyAlignment="1" applyProtection="1">
      <alignment horizontal="left" vertical="top" wrapText="1"/>
      <protection locked="0"/>
    </xf>
    <xf numFmtId="0" fontId="28" fillId="0" borderId="1" xfId="58" applyFont="1" applyBorder="1" applyAlignment="1" applyProtection="1">
      <alignment horizontal="left" vertical="top" wrapText="1"/>
      <protection locked="0"/>
    </xf>
    <xf numFmtId="0" fontId="82" fillId="19" borderId="0" xfId="58" applyFont="1" applyFill="1" applyAlignment="1" applyProtection="1">
      <alignment horizontal="center" vertical="center"/>
      <protection locked="0"/>
    </xf>
    <xf numFmtId="0" fontId="4" fillId="0" borderId="0" xfId="58" applyProtection="1">
      <protection locked="0"/>
    </xf>
    <xf numFmtId="8" fontId="28" fillId="12" borderId="125" xfId="0" applyNumberFormat="1" applyFont="1" applyFill="1" applyBorder="1" applyAlignment="1" applyProtection="1">
      <alignment vertical="center"/>
    </xf>
    <xf numFmtId="8" fontId="29" fillId="12" borderId="125" xfId="0" applyNumberFormat="1" applyFont="1" applyFill="1" applyBorder="1" applyAlignment="1" applyProtection="1">
      <alignment vertical="center"/>
    </xf>
    <xf numFmtId="0" fontId="23" fillId="12" borderId="99" xfId="10" applyNumberFormat="1" applyFont="1" applyFill="1" applyBorder="1" applyAlignment="1" applyProtection="1">
      <alignment vertical="center"/>
    </xf>
    <xf numFmtId="0" fontId="43" fillId="16" borderId="33" xfId="0" applyFont="1" applyFill="1" applyBorder="1" applyAlignment="1" applyProtection="1">
      <alignment horizontal="center" vertical="center" wrapText="1"/>
    </xf>
    <xf numFmtId="177" fontId="28" fillId="0" borderId="0" xfId="0" applyNumberFormat="1" applyFont="1" applyBorder="1" applyAlignment="1" applyProtection="1">
      <alignment horizontal="center" vertical="center" wrapText="1"/>
      <protection locked="0"/>
    </xf>
    <xf numFmtId="0" fontId="28" fillId="0" borderId="0" xfId="0" applyFont="1" applyBorder="1" applyAlignment="1" applyProtection="1">
      <alignment horizontal="center" vertical="center" wrapText="1"/>
      <protection locked="0"/>
    </xf>
    <xf numFmtId="177" fontId="28" fillId="0" borderId="0" xfId="0" applyNumberFormat="1" applyFont="1" applyFill="1" applyBorder="1" applyAlignment="1" applyProtection="1">
      <alignment horizontal="center" vertical="center" wrapText="1"/>
      <protection locked="0"/>
    </xf>
    <xf numFmtId="176" fontId="28" fillId="0" borderId="0" xfId="0" applyNumberFormat="1" applyFont="1" applyFill="1" applyBorder="1" applyAlignment="1" applyProtection="1">
      <alignment horizontal="center" vertical="center" wrapText="1"/>
      <protection locked="0"/>
    </xf>
    <xf numFmtId="3" fontId="28" fillId="0" borderId="0" xfId="0" applyNumberFormat="1" applyFont="1" applyFill="1" applyBorder="1" applyAlignment="1" applyProtection="1">
      <alignment horizontal="left" vertical="center" wrapText="1"/>
      <protection locked="0"/>
    </xf>
    <xf numFmtId="9" fontId="28" fillId="8" borderId="0" xfId="0" applyNumberFormat="1" applyFont="1" applyFill="1" applyBorder="1" applyAlignment="1" applyProtection="1">
      <alignment horizontal="center" vertical="center" wrapText="1"/>
    </xf>
    <xf numFmtId="3" fontId="28" fillId="0" borderId="0" xfId="0" applyNumberFormat="1" applyFont="1" applyFill="1" applyBorder="1" applyAlignment="1" applyProtection="1">
      <alignment horizontal="center" vertical="center" wrapText="1"/>
      <protection locked="0"/>
    </xf>
    <xf numFmtId="0" fontId="28" fillId="0" borderId="0" xfId="0" applyFont="1" applyFill="1" applyBorder="1" applyAlignment="1" applyProtection="1">
      <alignment horizontal="left" vertical="center" wrapText="1"/>
      <protection locked="0"/>
    </xf>
    <xf numFmtId="0" fontId="29" fillId="16" borderId="0" xfId="0" applyFont="1" applyFill="1" applyBorder="1" applyAlignment="1" applyProtection="1">
      <alignment horizontal="center" vertical="center"/>
    </xf>
    <xf numFmtId="43" fontId="28" fillId="0" borderId="0" xfId="0" applyNumberFormat="1" applyFont="1" applyFill="1" applyBorder="1" applyAlignment="1" applyProtection="1">
      <alignment horizontal="center" vertical="center" wrapText="1"/>
      <protection locked="0"/>
    </xf>
    <xf numFmtId="173" fontId="28" fillId="8" borderId="0" xfId="0" applyNumberFormat="1" applyFont="1" applyFill="1" applyBorder="1" applyAlignment="1" applyProtection="1">
      <alignment horizontal="center" vertical="center" wrapText="1"/>
    </xf>
    <xf numFmtId="0" fontId="90" fillId="0" borderId="0" xfId="0" applyFont="1"/>
    <xf numFmtId="174" fontId="29" fillId="12" borderId="137" xfId="5" applyNumberFormat="1" applyFont="1" applyFill="1" applyBorder="1" applyAlignment="1" applyProtection="1">
      <alignment vertical="center"/>
    </xf>
    <xf numFmtId="170" fontId="29" fillId="12" borderId="137" xfId="10" applyNumberFormat="1" applyFont="1" applyFill="1" applyBorder="1" applyAlignment="1" applyProtection="1">
      <alignment vertical="center"/>
    </xf>
    <xf numFmtId="0" fontId="27" fillId="0" borderId="139" xfId="5" applyFont="1" applyBorder="1"/>
    <xf numFmtId="0" fontId="65" fillId="9" borderId="138" xfId="5" applyFont="1" applyFill="1" applyBorder="1" applyAlignment="1" applyProtection="1">
      <alignment vertical="center"/>
    </xf>
    <xf numFmtId="0" fontId="65" fillId="9" borderId="140" xfId="5" applyFont="1" applyFill="1" applyBorder="1" applyAlignment="1" applyProtection="1">
      <alignment vertical="center"/>
    </xf>
    <xf numFmtId="174" fontId="23" fillId="12" borderId="140" xfId="5" applyNumberFormat="1" applyFont="1" applyFill="1" applyBorder="1" applyAlignment="1" applyProtection="1">
      <alignment vertical="center"/>
    </xf>
    <xf numFmtId="170" fontId="23" fillId="12" borderId="140" xfId="10" applyNumberFormat="1" applyFont="1" applyFill="1" applyBorder="1" applyAlignment="1" applyProtection="1">
      <alignment vertical="center"/>
    </xf>
    <xf numFmtId="0" fontId="29" fillId="21" borderId="141" xfId="0" applyFont="1" applyFill="1" applyBorder="1" applyAlignment="1" applyProtection="1">
      <alignment vertical="center" wrapText="1"/>
    </xf>
    <xf numFmtId="174" fontId="28" fillId="0" borderId="99" xfId="5" applyNumberFormat="1" applyFont="1" applyFill="1" applyBorder="1" applyAlignment="1" applyProtection="1">
      <alignment vertical="center"/>
      <protection locked="0"/>
    </xf>
    <xf numFmtId="174" fontId="28" fillId="0" borderId="99" xfId="5" applyNumberFormat="1" applyFont="1" applyFill="1" applyBorder="1" applyAlignment="1" applyProtection="1">
      <alignment vertical="center"/>
    </xf>
    <xf numFmtId="170" fontId="28" fillId="0" borderId="99" xfId="10" applyNumberFormat="1" applyFont="1" applyFill="1" applyBorder="1" applyAlignment="1" applyProtection="1">
      <alignment vertical="center"/>
    </xf>
    <xf numFmtId="0" fontId="29" fillId="0" borderId="99" xfId="0" applyFont="1" applyFill="1" applyBorder="1" applyAlignment="1" applyProtection="1">
      <alignment vertical="center" wrapText="1"/>
    </xf>
    <xf numFmtId="0" fontId="29" fillId="0" borderId="114" xfId="0" applyFont="1" applyFill="1" applyBorder="1" applyAlignment="1" applyProtection="1">
      <alignment vertical="center" wrapText="1"/>
    </xf>
    <xf numFmtId="0" fontId="31" fillId="0" borderId="0" xfId="57" applyFont="1" applyFill="1" applyProtection="1"/>
    <xf numFmtId="0" fontId="31" fillId="8" borderId="0" xfId="57" applyFont="1" applyFill="1" applyProtection="1"/>
    <xf numFmtId="0" fontId="31" fillId="0" borderId="0" xfId="57" applyFont="1" applyFill="1" applyAlignment="1" applyProtection="1">
      <alignment vertical="center"/>
    </xf>
    <xf numFmtId="0" fontId="43" fillId="0" borderId="0" xfId="6" applyFont="1" applyFill="1" applyBorder="1" applyAlignment="1" applyProtection="1">
      <alignment horizontal="left" vertical="center"/>
    </xf>
    <xf numFmtId="0" fontId="98" fillId="0" borderId="0" xfId="5" applyFont="1" applyProtection="1"/>
    <xf numFmtId="0" fontId="101" fillId="0" borderId="0" xfId="5" applyFont="1" applyProtection="1">
      <protection locked="0"/>
    </xf>
    <xf numFmtId="0" fontId="101" fillId="0" borderId="33" xfId="5" applyFont="1" applyBorder="1" applyProtection="1">
      <protection locked="0"/>
    </xf>
    <xf numFmtId="0" fontId="101" fillId="0" borderId="0" xfId="5" applyFont="1" applyBorder="1" applyProtection="1">
      <protection locked="0"/>
    </xf>
    <xf numFmtId="0" fontId="101" fillId="0" borderId="0" xfId="5" applyFont="1" applyBorder="1" applyAlignment="1" applyProtection="1">
      <alignment vertical="center"/>
      <protection locked="0"/>
    </xf>
    <xf numFmtId="0" fontId="101" fillId="0" borderId="10" xfId="5" applyFont="1" applyBorder="1" applyProtection="1">
      <protection locked="0"/>
    </xf>
    <xf numFmtId="0" fontId="98" fillId="0" borderId="0" xfId="5" applyFont="1" applyProtection="1">
      <protection locked="0"/>
    </xf>
    <xf numFmtId="0" fontId="95" fillId="0" borderId="0" xfId="57" applyFont="1" applyFill="1" applyProtection="1"/>
    <xf numFmtId="0" fontId="95" fillId="0" borderId="0" xfId="57" applyFont="1" applyFill="1" applyAlignment="1" applyProtection="1">
      <alignment vertical="center"/>
      <protection locked="0"/>
    </xf>
    <xf numFmtId="0" fontId="95" fillId="0" borderId="0" xfId="57" applyFont="1" applyFill="1" applyProtection="1">
      <protection locked="0"/>
    </xf>
    <xf numFmtId="170" fontId="29" fillId="12" borderId="137" xfId="5" applyNumberFormat="1" applyFont="1" applyFill="1" applyBorder="1" applyAlignment="1" applyProtection="1">
      <alignment vertical="center"/>
    </xf>
    <xf numFmtId="0" fontId="23" fillId="6" borderId="23" xfId="0" applyFont="1" applyFill="1" applyBorder="1" applyAlignment="1" applyProtection="1"/>
    <xf numFmtId="174" fontId="24" fillId="12" borderId="121" xfId="0" applyNumberFormat="1" applyFont="1" applyFill="1" applyBorder="1" applyAlignment="1" applyProtection="1">
      <alignment vertical="center"/>
    </xf>
    <xf numFmtId="174" fontId="24" fillId="12" borderId="122" xfId="0" applyNumberFormat="1" applyFont="1" applyFill="1" applyBorder="1" applyAlignment="1" applyProtection="1">
      <alignment vertical="center"/>
    </xf>
    <xf numFmtId="174" fontId="24" fillId="12" borderId="91" xfId="0" applyNumberFormat="1" applyFont="1" applyFill="1" applyBorder="1" applyAlignment="1" applyProtection="1">
      <alignment vertical="center"/>
    </xf>
    <xf numFmtId="174" fontId="23" fillId="12" borderId="66" xfId="0" applyNumberFormat="1" applyFont="1" applyFill="1" applyBorder="1" applyAlignment="1" applyProtection="1">
      <alignment vertical="center"/>
    </xf>
    <xf numFmtId="174" fontId="24" fillId="12" borderId="51" xfId="0" applyNumberFormat="1" applyFont="1" applyFill="1" applyBorder="1" applyAlignment="1" applyProtection="1">
      <alignment vertical="center"/>
    </xf>
    <xf numFmtId="174" fontId="24" fillId="12" borderId="42" xfId="0" applyNumberFormat="1" applyFont="1" applyFill="1" applyBorder="1" applyAlignment="1" applyProtection="1">
      <alignment vertical="center"/>
    </xf>
    <xf numFmtId="174" fontId="24" fillId="12" borderId="53" xfId="0" applyNumberFormat="1" applyFont="1" applyFill="1" applyBorder="1" applyAlignment="1" applyProtection="1">
      <alignment vertical="center"/>
    </xf>
    <xf numFmtId="174" fontId="24" fillId="12" borderId="120" xfId="0" applyNumberFormat="1" applyFont="1" applyFill="1" applyBorder="1" applyAlignment="1" applyProtection="1">
      <alignment vertical="center"/>
    </xf>
    <xf numFmtId="174" fontId="24" fillId="12" borderId="10" xfId="0" applyNumberFormat="1" applyFont="1" applyFill="1" applyBorder="1" applyAlignment="1" applyProtection="1">
      <alignment vertical="center"/>
    </xf>
    <xf numFmtId="174" fontId="24" fillId="12" borderId="79" xfId="0" applyNumberFormat="1" applyFont="1" applyFill="1" applyBorder="1" applyAlignment="1" applyProtection="1">
      <alignment vertical="center"/>
    </xf>
    <xf numFmtId="174" fontId="24" fillId="12" borderId="123" xfId="0" applyNumberFormat="1" applyFont="1" applyFill="1" applyBorder="1" applyAlignment="1" applyProtection="1">
      <alignment vertical="center"/>
    </xf>
    <xf numFmtId="174" fontId="24" fillId="12" borderId="7" xfId="0" applyNumberFormat="1" applyFont="1" applyFill="1" applyBorder="1" applyAlignment="1" applyProtection="1">
      <alignment vertical="center"/>
    </xf>
    <xf numFmtId="174" fontId="24" fillId="9" borderId="1" xfId="0" applyNumberFormat="1" applyFont="1" applyFill="1" applyBorder="1" applyAlignment="1" applyProtection="1">
      <alignment vertical="center"/>
    </xf>
    <xf numFmtId="174" fontId="24" fillId="9" borderId="4" xfId="0" applyNumberFormat="1" applyFont="1" applyFill="1" applyBorder="1" applyAlignment="1" applyProtection="1">
      <alignment vertical="center"/>
    </xf>
    <xf numFmtId="174" fontId="24" fillId="9" borderId="50" xfId="0" applyNumberFormat="1" applyFont="1" applyFill="1" applyBorder="1" applyAlignment="1" applyProtection="1">
      <alignment vertical="center"/>
    </xf>
    <xf numFmtId="174" fontId="24" fillId="12" borderId="81" xfId="0" applyNumberFormat="1" applyFont="1" applyFill="1" applyBorder="1" applyAlignment="1" applyProtection="1">
      <alignment vertical="center"/>
    </xf>
    <xf numFmtId="174" fontId="24" fillId="12" borderId="124" xfId="0" applyNumberFormat="1" applyFont="1" applyFill="1" applyBorder="1" applyAlignment="1" applyProtection="1">
      <alignment vertical="center"/>
    </xf>
    <xf numFmtId="0" fontId="23" fillId="0" borderId="32" xfId="0" applyFont="1" applyFill="1" applyBorder="1" applyAlignment="1" applyProtection="1">
      <alignment horizontal="left" vertical="center" wrapText="1"/>
    </xf>
    <xf numFmtId="0" fontId="23" fillId="6" borderId="32" xfId="0" applyFont="1" applyFill="1" applyBorder="1" applyAlignment="1" applyProtection="1">
      <alignment horizontal="left" vertical="center" wrapText="1"/>
    </xf>
    <xf numFmtId="0" fontId="24" fillId="6" borderId="31" xfId="0" quotePrefix="1" applyFont="1" applyFill="1" applyBorder="1" applyAlignment="1" applyProtection="1">
      <alignment wrapText="1"/>
    </xf>
    <xf numFmtId="0" fontId="24" fillId="6" borderId="25" xfId="0" quotePrefix="1" applyFont="1" applyFill="1" applyBorder="1" applyAlignment="1" applyProtection="1">
      <alignment wrapText="1"/>
    </xf>
    <xf numFmtId="0" fontId="27" fillId="6" borderId="29" xfId="0" applyFont="1" applyFill="1" applyBorder="1" applyAlignment="1" applyProtection="1">
      <alignment horizontal="center" vertical="center"/>
    </xf>
    <xf numFmtId="15" fontId="28" fillId="24" borderId="8" xfId="6" applyNumberFormat="1" applyFont="1" applyFill="1" applyBorder="1" applyAlignment="1" applyProtection="1">
      <alignment vertical="center"/>
    </xf>
    <xf numFmtId="0" fontId="28" fillId="24" borderId="8" xfId="6" applyFont="1" applyFill="1" applyBorder="1" applyAlignment="1" applyProtection="1">
      <alignment horizontal="right" vertical="center"/>
    </xf>
    <xf numFmtId="0" fontId="79" fillId="24" borderId="8" xfId="101" applyFont="1" applyFill="1" applyBorder="1" applyProtection="1"/>
    <xf numFmtId="15" fontId="28" fillId="24" borderId="5" xfId="6" applyNumberFormat="1" applyFont="1" applyFill="1" applyBorder="1" applyAlignment="1" applyProtection="1">
      <alignment vertical="center"/>
    </xf>
    <xf numFmtId="15" fontId="28" fillId="24" borderId="10" xfId="6" applyNumberFormat="1" applyFont="1" applyFill="1" applyBorder="1" applyAlignment="1" applyProtection="1">
      <alignment vertical="center"/>
    </xf>
    <xf numFmtId="0" fontId="28" fillId="24" borderId="10" xfId="6" applyFont="1" applyFill="1" applyBorder="1" applyAlignment="1" applyProtection="1">
      <alignment horizontal="right" vertical="center"/>
    </xf>
    <xf numFmtId="0" fontId="79" fillId="24" borderId="10" xfId="101" applyFont="1" applyFill="1" applyBorder="1" applyProtection="1"/>
    <xf numFmtId="15" fontId="28" fillId="24" borderId="2" xfId="6" applyNumberFormat="1" applyFont="1" applyFill="1" applyBorder="1" applyAlignment="1" applyProtection="1">
      <alignment vertical="center"/>
    </xf>
    <xf numFmtId="0" fontId="33" fillId="24" borderId="40" xfId="6" applyFont="1" applyFill="1" applyBorder="1" applyAlignment="1" applyProtection="1">
      <alignment vertical="center"/>
    </xf>
    <xf numFmtId="0" fontId="33" fillId="24" borderId="33" xfId="6" applyFont="1" applyFill="1" applyBorder="1" applyAlignment="1" applyProtection="1">
      <alignment vertical="center"/>
    </xf>
    <xf numFmtId="0" fontId="33" fillId="24" borderId="44" xfId="6" applyFont="1" applyFill="1" applyBorder="1" applyAlignment="1" applyProtection="1">
      <alignment vertical="center"/>
    </xf>
    <xf numFmtId="174" fontId="24" fillId="12" borderId="132" xfId="0" applyNumberFormat="1" applyFont="1" applyFill="1" applyBorder="1" applyAlignment="1" applyProtection="1">
      <alignment vertical="center"/>
    </xf>
    <xf numFmtId="174" fontId="24" fillId="12" borderId="133" xfId="0" applyNumberFormat="1" applyFont="1" applyFill="1" applyBorder="1" applyAlignment="1" applyProtection="1">
      <alignment vertical="center"/>
    </xf>
    <xf numFmtId="174" fontId="24" fillId="12" borderId="134" xfId="0" applyNumberFormat="1" applyFont="1" applyFill="1" applyBorder="1" applyAlignment="1" applyProtection="1">
      <alignment vertical="center"/>
    </xf>
    <xf numFmtId="174" fontId="24" fillId="12" borderId="135" xfId="0" applyNumberFormat="1" applyFont="1" applyFill="1" applyBorder="1" applyAlignment="1" applyProtection="1">
      <alignment vertical="center"/>
    </xf>
    <xf numFmtId="174" fontId="24" fillId="12" borderId="1" xfId="0" applyNumberFormat="1" applyFont="1" applyFill="1" applyBorder="1" applyAlignment="1" applyProtection="1">
      <alignment vertical="center"/>
    </xf>
    <xf numFmtId="174" fontId="24" fillId="12" borderId="49" xfId="0" applyNumberFormat="1" applyFont="1" applyFill="1" applyBorder="1" applyAlignment="1" applyProtection="1">
      <alignment vertical="center"/>
    </xf>
    <xf numFmtId="174" fontId="24" fillId="12" borderId="3" xfId="0" applyNumberFormat="1" applyFont="1" applyFill="1" applyBorder="1" applyAlignment="1" applyProtection="1">
      <alignment vertical="center"/>
    </xf>
    <xf numFmtId="174" fontId="24" fillId="12" borderId="12" xfId="0" applyNumberFormat="1" applyFont="1" applyFill="1" applyBorder="1" applyAlignment="1" applyProtection="1">
      <alignment vertical="center"/>
    </xf>
    <xf numFmtId="174" fontId="24" fillId="12" borderId="50" xfId="0" applyNumberFormat="1" applyFont="1" applyFill="1" applyBorder="1" applyAlignment="1" applyProtection="1">
      <alignment vertical="center"/>
    </xf>
    <xf numFmtId="174" fontId="24" fillId="12" borderId="4" xfId="0" applyNumberFormat="1" applyFont="1" applyFill="1" applyBorder="1" applyAlignment="1" applyProtection="1">
      <alignment vertical="center"/>
    </xf>
    <xf numFmtId="0" fontId="38" fillId="0" borderId="1" xfId="101" applyFont="1" applyBorder="1" applyProtection="1"/>
    <xf numFmtId="174" fontId="38" fillId="0" borderId="1" xfId="101" applyNumberFormat="1" applyFont="1" applyBorder="1" applyProtection="1"/>
    <xf numFmtId="15" fontId="28" fillId="24" borderId="33" xfId="6" applyNumberFormat="1" applyFont="1" applyFill="1" applyBorder="1" applyAlignment="1" applyProtection="1">
      <alignment vertical="center"/>
    </xf>
    <xf numFmtId="174" fontId="24" fillId="9" borderId="21" xfId="0" applyNumberFormat="1" applyFont="1" applyFill="1" applyBorder="1" applyAlignment="1" applyProtection="1">
      <alignment vertical="center"/>
    </xf>
    <xf numFmtId="174" fontId="24" fillId="9" borderId="71" xfId="0" applyNumberFormat="1" applyFont="1" applyFill="1" applyBorder="1" applyAlignment="1" applyProtection="1">
      <alignment vertical="center"/>
    </xf>
    <xf numFmtId="174" fontId="24" fillId="9" borderId="98" xfId="0" applyNumberFormat="1" applyFont="1" applyFill="1" applyBorder="1" applyAlignment="1" applyProtection="1">
      <alignment vertical="center"/>
    </xf>
    <xf numFmtId="0" fontId="0" fillId="0" borderId="0" xfId="0"/>
    <xf numFmtId="174" fontId="28" fillId="13" borderId="114" xfId="5" applyNumberFormat="1" applyFont="1" applyFill="1" applyBorder="1" applyAlignment="1" applyProtection="1">
      <alignment vertical="center"/>
      <protection locked="0"/>
    </xf>
    <xf numFmtId="49" fontId="24" fillId="13" borderId="114" xfId="5" applyNumberFormat="1" applyFont="1" applyFill="1" applyBorder="1" applyAlignment="1" applyProtection="1">
      <alignment horizontal="left" vertical="center" wrapText="1"/>
      <protection locked="0"/>
    </xf>
    <xf numFmtId="0" fontId="61" fillId="0" borderId="0" xfId="103" applyFont="1" applyAlignment="1" applyProtection="1">
      <alignment vertical="center"/>
    </xf>
    <xf numFmtId="174" fontId="29" fillId="6" borderId="86" xfId="103" applyNumberFormat="1" applyFont="1" applyFill="1" applyBorder="1" applyAlignment="1" applyProtection="1">
      <alignment vertical="center" wrapText="1"/>
    </xf>
    <xf numFmtId="0" fontId="29" fillId="6" borderId="86" xfId="103" applyFont="1" applyFill="1" applyBorder="1" applyAlignment="1" applyProtection="1">
      <alignment vertical="center" wrapText="1"/>
    </xf>
    <xf numFmtId="6" fontId="28" fillId="12" borderId="13" xfId="103" applyNumberFormat="1" applyFont="1" applyFill="1" applyBorder="1" applyAlignment="1" applyProtection="1">
      <alignment vertical="center"/>
    </xf>
    <xf numFmtId="174" fontId="28" fillId="13" borderId="142" xfId="5" applyNumberFormat="1" applyFont="1" applyFill="1" applyBorder="1" applyAlignment="1" applyProtection="1">
      <alignment vertical="center"/>
      <protection locked="0"/>
    </xf>
    <xf numFmtId="49" fontId="24" fillId="13" borderId="119" xfId="5" applyNumberFormat="1" applyFont="1" applyFill="1" applyBorder="1" applyAlignment="1" applyProtection="1">
      <alignment horizontal="left" vertical="center" wrapText="1"/>
      <protection locked="0"/>
    </xf>
    <xf numFmtId="6" fontId="28" fillId="12" borderId="1" xfId="103" applyNumberFormat="1" applyFont="1" applyFill="1" applyBorder="1" applyAlignment="1" applyProtection="1">
      <alignment vertical="center"/>
    </xf>
    <xf numFmtId="179" fontId="24" fillId="13" borderId="114" xfId="103" applyNumberFormat="1" applyFont="1" applyFill="1" applyBorder="1" applyAlignment="1" applyProtection="1">
      <alignment vertical="center"/>
      <protection locked="0"/>
    </xf>
    <xf numFmtId="174" fontId="28" fillId="13" borderId="143" xfId="5" applyNumberFormat="1" applyFont="1" applyFill="1" applyBorder="1" applyAlignment="1" applyProtection="1">
      <alignment vertical="center"/>
      <protection locked="0"/>
    </xf>
    <xf numFmtId="0" fontId="29" fillId="25" borderId="84" xfId="103" applyFont="1" applyFill="1" applyBorder="1" applyAlignment="1" applyProtection="1">
      <alignment horizontal="center" vertical="center" wrapText="1"/>
    </xf>
    <xf numFmtId="0" fontId="29" fillId="25" borderId="131" xfId="103" applyFont="1" applyFill="1" applyBorder="1" applyAlignment="1" applyProtection="1">
      <alignment horizontal="center" vertical="center" wrapText="1"/>
    </xf>
    <xf numFmtId="0" fontId="29" fillId="25" borderId="1" xfId="103" applyFont="1" applyFill="1" applyBorder="1" applyAlignment="1" applyProtection="1">
      <alignment horizontal="center" vertical="center" wrapText="1"/>
    </xf>
    <xf numFmtId="0" fontId="29" fillId="16" borderId="13" xfId="103" applyFont="1" applyFill="1" applyBorder="1" applyAlignment="1" applyProtection="1">
      <alignment horizontal="center" vertical="center" wrapText="1"/>
    </xf>
    <xf numFmtId="0" fontId="29" fillId="16" borderId="1" xfId="103" applyFont="1" applyFill="1" applyBorder="1" applyAlignment="1" applyProtection="1">
      <alignment horizontal="center" vertical="center" wrapText="1"/>
    </xf>
    <xf numFmtId="0" fontId="29" fillId="4" borderId="76" xfId="103" applyFont="1" applyFill="1" applyBorder="1" applyAlignment="1" applyProtection="1">
      <alignment horizontal="center" vertical="center" wrapText="1"/>
    </xf>
    <xf numFmtId="0" fontId="29" fillId="4" borderId="4" xfId="103" applyFont="1" applyFill="1" applyBorder="1" applyAlignment="1" applyProtection="1">
      <alignment horizontal="center" vertical="center" wrapText="1"/>
    </xf>
    <xf numFmtId="0" fontId="28" fillId="6" borderId="61" xfId="0" applyFont="1" applyFill="1" applyBorder="1" applyAlignment="1" applyProtection="1">
      <alignment vertical="center"/>
      <protection locked="0"/>
    </xf>
    <xf numFmtId="0" fontId="28" fillId="0" borderId="10" xfId="5" applyFont="1" applyFill="1" applyBorder="1" applyProtection="1"/>
    <xf numFmtId="0" fontId="28" fillId="0" borderId="144" xfId="5" applyFont="1" applyBorder="1" applyProtection="1">
      <protection locked="0"/>
    </xf>
    <xf numFmtId="0" fontId="29" fillId="21" borderId="140" xfId="0" applyFont="1" applyFill="1" applyBorder="1" applyAlignment="1" applyProtection="1">
      <alignment vertical="center" wrapText="1"/>
    </xf>
    <xf numFmtId="174" fontId="29" fillId="12" borderId="140" xfId="5" applyNumberFormat="1" applyFont="1" applyFill="1" applyBorder="1" applyAlignment="1" applyProtection="1">
      <alignment vertical="center"/>
    </xf>
    <xf numFmtId="170" fontId="29" fillId="12" borderId="140" xfId="10" applyNumberFormat="1" applyFont="1" applyFill="1" applyBorder="1" applyAlignment="1" applyProtection="1">
      <alignment vertical="center"/>
    </xf>
    <xf numFmtId="0" fontId="28" fillId="0" borderId="102" xfId="5" applyFont="1" applyFill="1" applyBorder="1" applyAlignment="1" applyProtection="1">
      <alignment horizontal="left" vertical="top"/>
    </xf>
    <xf numFmtId="0" fontId="28" fillId="0" borderId="99" xfId="5" applyFont="1" applyFill="1" applyBorder="1" applyAlignment="1" applyProtection="1">
      <alignment horizontal="left" vertical="top"/>
    </xf>
    <xf numFmtId="49" fontId="79" fillId="0" borderId="99" xfId="5" applyNumberFormat="1" applyFont="1" applyFill="1" applyBorder="1" applyAlignment="1" applyProtection="1">
      <alignment horizontal="left" vertical="center" wrapText="1"/>
      <protection locked="0"/>
    </xf>
    <xf numFmtId="0" fontId="32" fillId="0" borderId="11" xfId="5" applyFont="1" applyBorder="1"/>
    <xf numFmtId="0" fontId="23" fillId="12" borderId="140" xfId="10" applyNumberFormat="1" applyFont="1" applyFill="1" applyBorder="1" applyAlignment="1" applyProtection="1">
      <alignment vertical="center"/>
    </xf>
    <xf numFmtId="0" fontId="98" fillId="26" borderId="0" xfId="5" applyFont="1" applyFill="1" applyBorder="1" applyAlignment="1">
      <alignment vertical="center"/>
    </xf>
    <xf numFmtId="0" fontId="98" fillId="26" borderId="0" xfId="5" applyFont="1" applyFill="1" applyAlignment="1">
      <alignment vertical="center"/>
    </xf>
    <xf numFmtId="0" fontId="98" fillId="26" borderId="0" xfId="5" applyFont="1" applyFill="1" applyBorder="1"/>
    <xf numFmtId="0" fontId="98" fillId="26" borderId="0" xfId="5" applyFont="1" applyFill="1"/>
    <xf numFmtId="0" fontId="98" fillId="26" borderId="10" xfId="5" applyFont="1" applyFill="1" applyBorder="1"/>
    <xf numFmtId="0" fontId="98" fillId="26" borderId="33" xfId="5" applyFont="1" applyFill="1" applyBorder="1"/>
    <xf numFmtId="0" fontId="91" fillId="0" borderId="0" xfId="5" applyFont="1" applyAlignment="1" applyProtection="1">
      <alignment vertical="center"/>
      <protection locked="0"/>
    </xf>
    <xf numFmtId="0" fontId="91" fillId="0" borderId="0" xfId="5" applyFont="1" applyProtection="1">
      <protection locked="0"/>
    </xf>
    <xf numFmtId="0" fontId="29" fillId="9" borderId="145" xfId="5" applyFont="1" applyFill="1" applyBorder="1" applyAlignment="1" applyProtection="1">
      <alignment vertical="top" wrapText="1"/>
    </xf>
    <xf numFmtId="0" fontId="28" fillId="13" borderId="102" xfId="5" applyFont="1" applyFill="1" applyBorder="1" applyAlignment="1" applyProtection="1">
      <alignment vertical="top" wrapText="1"/>
      <protection locked="0"/>
    </xf>
    <xf numFmtId="0" fontId="3" fillId="0" borderId="0" xfId="103" applyAlignment="1" applyProtection="1">
      <alignment horizontal="center"/>
      <protection locked="0"/>
    </xf>
    <xf numFmtId="0" fontId="3" fillId="0" borderId="1" xfId="103" applyBorder="1" applyProtection="1">
      <protection locked="0"/>
    </xf>
    <xf numFmtId="0" fontId="65" fillId="10" borderId="0" xfId="0" applyFont="1" applyFill="1" applyAlignment="1" applyProtection="1">
      <alignment vertical="center" wrapText="1"/>
    </xf>
    <xf numFmtId="0" fontId="65" fillId="0" borderId="0" xfId="5" applyFont="1" applyBorder="1" applyAlignment="1" applyProtection="1">
      <alignment horizontal="center"/>
    </xf>
    <xf numFmtId="0" fontId="65" fillId="0" borderId="10" xfId="5" applyFont="1" applyBorder="1" applyAlignment="1" applyProtection="1">
      <alignment horizontal="center"/>
    </xf>
    <xf numFmtId="0" fontId="65" fillId="10" borderId="0" xfId="0" applyFont="1" applyFill="1" applyAlignment="1" applyProtection="1">
      <alignment horizontal="center" vertical="center" wrapText="1"/>
    </xf>
    <xf numFmtId="0" fontId="69" fillId="0" borderId="10" xfId="5" applyFont="1" applyBorder="1" applyAlignment="1" applyProtection="1">
      <alignment horizontal="center"/>
    </xf>
    <xf numFmtId="0" fontId="28" fillId="0" borderId="114" xfId="5" applyFont="1" applyFill="1" applyBorder="1" applyAlignment="1" applyProtection="1">
      <alignment vertical="center"/>
      <protection locked="0"/>
    </xf>
    <xf numFmtId="0" fontId="101" fillId="0" borderId="0" xfId="5" applyFont="1" applyProtection="1"/>
    <xf numFmtId="0" fontId="91" fillId="0" borderId="0" xfId="5" applyFont="1" applyProtection="1"/>
    <xf numFmtId="0" fontId="91" fillId="0" borderId="0" xfId="5" applyFont="1" applyAlignment="1" applyProtection="1">
      <alignment vertical="center"/>
    </xf>
    <xf numFmtId="0" fontId="101" fillId="0" borderId="0" xfId="5" applyFont="1" applyBorder="1" applyProtection="1"/>
    <xf numFmtId="0" fontId="101" fillId="0" borderId="0" xfId="5" applyFont="1" applyBorder="1" applyAlignment="1" applyProtection="1">
      <alignment vertical="center"/>
    </xf>
    <xf numFmtId="0" fontId="101" fillId="0" borderId="0" xfId="5" applyFont="1" applyAlignment="1" applyProtection="1">
      <alignment vertical="center"/>
    </xf>
    <xf numFmtId="0" fontId="28" fillId="0" borderId="0" xfId="5" applyFont="1" applyAlignment="1" applyProtection="1">
      <alignment vertical="center"/>
    </xf>
    <xf numFmtId="0" fontId="59" fillId="0" borderId="33" xfId="5" applyFont="1" applyBorder="1"/>
    <xf numFmtId="0" fontId="59" fillId="0" borderId="0" xfId="5" applyFont="1" applyBorder="1"/>
    <xf numFmtId="0" fontId="59" fillId="0" borderId="0" xfId="5" applyFont="1"/>
    <xf numFmtId="0" fontId="59" fillId="0" borderId="0" xfId="5" applyFont="1" applyBorder="1" applyAlignment="1">
      <alignment vertical="center"/>
    </xf>
    <xf numFmtId="0" fontId="59" fillId="0" borderId="0" xfId="5" applyFont="1" applyAlignment="1">
      <alignment vertical="center"/>
    </xf>
    <xf numFmtId="0" fontId="59" fillId="0" borderId="116" xfId="5" applyFont="1" applyBorder="1"/>
    <xf numFmtId="0" fontId="59" fillId="0" borderId="10" xfId="5" applyFont="1" applyBorder="1"/>
    <xf numFmtId="0" fontId="98" fillId="0" borderId="0" xfId="5" applyFont="1" applyBorder="1"/>
    <xf numFmtId="0" fontId="98" fillId="0" borderId="0" xfId="5" applyFont="1"/>
    <xf numFmtId="0" fontId="98" fillId="0" borderId="0" xfId="5" applyFont="1" applyAlignment="1">
      <alignment vertical="center"/>
    </xf>
    <xf numFmtId="0" fontId="101" fillId="0" borderId="0" xfId="5" applyFont="1" applyBorder="1" applyAlignment="1" applyProtection="1">
      <alignment vertical="center" wrapText="1"/>
    </xf>
    <xf numFmtId="1" fontId="101" fillId="0" borderId="0" xfId="5" applyNumberFormat="1" applyFont="1" applyBorder="1" applyProtection="1"/>
    <xf numFmtId="0" fontId="27" fillId="24" borderId="7" xfId="0" applyFont="1" applyFill="1" applyBorder="1" applyProtection="1"/>
    <xf numFmtId="0" fontId="27" fillId="24" borderId="10" xfId="0" applyFont="1" applyFill="1" applyBorder="1" applyProtection="1"/>
    <xf numFmtId="0" fontId="27" fillId="24" borderId="67" xfId="0" applyFont="1" applyFill="1" applyBorder="1" applyProtection="1"/>
    <xf numFmtId="0" fontId="43" fillId="0" borderId="0" xfId="0" applyFont="1" applyBorder="1" applyProtection="1"/>
    <xf numFmtId="0" fontId="36" fillId="0" borderId="0" xfId="0" applyFont="1" applyBorder="1" applyProtection="1"/>
    <xf numFmtId="0" fontId="36" fillId="6" borderId="0" xfId="0" applyFont="1" applyFill="1" applyAlignment="1" applyProtection="1">
      <alignment horizontal="center" vertical="center"/>
    </xf>
    <xf numFmtId="0" fontId="36" fillId="6" borderId="0" xfId="0" applyFont="1" applyFill="1" applyBorder="1" applyAlignment="1" applyProtection="1">
      <alignment horizontal="center" vertical="center"/>
    </xf>
    <xf numFmtId="0" fontId="29" fillId="12" borderId="21" xfId="0" applyFont="1" applyFill="1" applyBorder="1" applyAlignment="1" applyProtection="1">
      <alignment horizontal="center"/>
    </xf>
    <xf numFmtId="0" fontId="36" fillId="0" borderId="0" xfId="0" applyFont="1" applyBorder="1" applyAlignment="1" applyProtection="1">
      <alignment horizontal="center"/>
    </xf>
    <xf numFmtId="0" fontId="29" fillId="12" borderId="1" xfId="0" applyFont="1" applyFill="1" applyBorder="1" applyAlignment="1" applyProtection="1">
      <alignment horizontal="center"/>
    </xf>
    <xf numFmtId="0" fontId="23" fillId="0" borderId="43" xfId="0" applyFont="1" applyBorder="1" applyAlignment="1" applyProtection="1">
      <alignment wrapText="1"/>
    </xf>
    <xf numFmtId="0" fontId="27" fillId="12" borderId="49" xfId="0" applyFont="1" applyFill="1" applyBorder="1" applyAlignment="1" applyProtection="1">
      <alignment horizontal="center" wrapText="1"/>
    </xf>
    <xf numFmtId="0" fontId="27" fillId="12" borderId="3" xfId="0" applyFont="1" applyFill="1" applyBorder="1" applyAlignment="1" applyProtection="1">
      <alignment horizontal="center" wrapText="1"/>
    </xf>
    <xf numFmtId="0" fontId="27" fillId="7" borderId="44" xfId="0" applyFont="1" applyFill="1" applyBorder="1" applyAlignment="1" applyProtection="1">
      <alignment wrapText="1"/>
    </xf>
    <xf numFmtId="0" fontId="27" fillId="7" borderId="61" xfId="0" applyFont="1" applyFill="1" applyBorder="1" applyProtection="1"/>
    <xf numFmtId="0" fontId="23" fillId="0" borderId="88" xfId="0" applyFont="1" applyBorder="1" applyAlignment="1" applyProtection="1">
      <alignment wrapText="1"/>
    </xf>
    <xf numFmtId="174" fontId="27" fillId="6" borderId="0" xfId="0" applyNumberFormat="1" applyFont="1" applyFill="1" applyProtection="1"/>
    <xf numFmtId="0" fontId="23" fillId="0" borderId="88" xfId="0" applyFont="1" applyFill="1" applyBorder="1" applyAlignment="1" applyProtection="1">
      <alignment wrapText="1"/>
    </xf>
    <xf numFmtId="0" fontId="27" fillId="22" borderId="1" xfId="0" applyFont="1" applyFill="1" applyBorder="1" applyProtection="1"/>
    <xf numFmtId="0" fontId="27" fillId="22" borderId="4" xfId="0" applyFont="1" applyFill="1" applyBorder="1" applyProtection="1"/>
    <xf numFmtId="0" fontId="27" fillId="22" borderId="50" xfId="0" applyFont="1" applyFill="1" applyBorder="1" applyProtection="1"/>
    <xf numFmtId="0" fontId="27" fillId="6" borderId="0" xfId="0" applyFont="1" applyFill="1" applyAlignment="1" applyProtection="1">
      <alignment wrapText="1"/>
    </xf>
    <xf numFmtId="0" fontId="27" fillId="6" borderId="0" xfId="0" applyFont="1" applyFill="1" applyAlignment="1" applyProtection="1">
      <alignment vertical="center" wrapText="1"/>
    </xf>
    <xf numFmtId="0" fontId="27" fillId="6" borderId="9" xfId="0" applyFont="1" applyFill="1" applyBorder="1" applyAlignment="1" applyProtection="1">
      <alignment vertical="center" wrapText="1"/>
    </xf>
    <xf numFmtId="0" fontId="27" fillId="22" borderId="21" xfId="0" applyFont="1" applyFill="1" applyBorder="1" applyProtection="1"/>
    <xf numFmtId="0" fontId="27" fillId="22" borderId="71" xfId="0" applyFont="1" applyFill="1" applyBorder="1" applyProtection="1"/>
    <xf numFmtId="0" fontId="27" fillId="22" borderId="98" xfId="0" applyFont="1" applyFill="1" applyBorder="1" applyProtection="1"/>
    <xf numFmtId="0" fontId="23" fillId="0" borderId="41" xfId="0" applyFont="1" applyFill="1" applyBorder="1" applyAlignment="1" applyProtection="1">
      <alignment wrapText="1"/>
    </xf>
    <xf numFmtId="174" fontId="32" fillId="6" borderId="0" xfId="0" applyNumberFormat="1" applyFont="1" applyFill="1" applyProtection="1"/>
    <xf numFmtId="0" fontId="36" fillId="6" borderId="0" xfId="0" applyFont="1" applyFill="1" applyBorder="1" applyAlignment="1" applyProtection="1">
      <alignment wrapText="1"/>
    </xf>
    <xf numFmtId="174" fontId="27" fillId="6" borderId="0" xfId="0" applyNumberFormat="1" applyFont="1" applyFill="1" applyBorder="1" applyProtection="1"/>
    <xf numFmtId="0" fontId="36" fillId="6" borderId="0" xfId="0" applyFont="1" applyFill="1" applyAlignment="1" applyProtection="1">
      <alignment horizontal="center"/>
    </xf>
    <xf numFmtId="0" fontId="23" fillId="0" borderId="40" xfId="0" applyFont="1" applyFill="1" applyBorder="1" applyAlignment="1" applyProtection="1">
      <alignment wrapText="1"/>
    </xf>
    <xf numFmtId="0" fontId="23" fillId="0" borderId="11" xfId="0" applyFont="1" applyFill="1" applyBorder="1" applyAlignment="1" applyProtection="1">
      <alignment wrapText="1"/>
    </xf>
    <xf numFmtId="0" fontId="36" fillId="6" borderId="0" xfId="0" applyFont="1" applyFill="1" applyProtection="1"/>
    <xf numFmtId="0" fontId="27" fillId="6" borderId="0" xfId="0" quotePrefix="1" applyFont="1" applyFill="1" applyProtection="1"/>
    <xf numFmtId="0" fontId="43" fillId="23" borderId="21" xfId="0" applyFont="1" applyFill="1" applyBorder="1" applyAlignment="1" applyProtection="1">
      <alignment horizontal="center"/>
    </xf>
    <xf numFmtId="0" fontId="36" fillId="0" borderId="0" xfId="0" applyFont="1" applyFill="1" applyBorder="1" applyAlignment="1" applyProtection="1">
      <alignment horizontal="center"/>
    </xf>
    <xf numFmtId="0" fontId="27" fillId="7" borderId="12" xfId="0" applyFont="1" applyFill="1" applyBorder="1" applyAlignment="1" applyProtection="1">
      <alignment wrapText="1"/>
    </xf>
    <xf numFmtId="0" fontId="63" fillId="0" borderId="0" xfId="0" applyFont="1" applyProtection="1"/>
    <xf numFmtId="172" fontId="24" fillId="13" borderId="97" xfId="0" applyNumberFormat="1" applyFont="1" applyFill="1" applyBorder="1" applyAlignment="1" applyProtection="1">
      <alignment horizontal="right"/>
    </xf>
    <xf numFmtId="171" fontId="24" fillId="16" borderId="35" xfId="0" applyNumberFormat="1" applyFont="1" applyFill="1" applyBorder="1" applyAlignment="1" applyProtection="1">
      <alignment horizontal="right"/>
    </xf>
    <xf numFmtId="172" fontId="24" fillId="13" borderId="35" xfId="0" applyNumberFormat="1" applyFont="1" applyFill="1" applyBorder="1" applyAlignment="1" applyProtection="1">
      <alignment horizontal="right"/>
    </xf>
    <xf numFmtId="0" fontId="59" fillId="6" borderId="0" xfId="0" applyFont="1" applyFill="1" applyProtection="1"/>
    <xf numFmtId="174" fontId="24" fillId="13" borderId="121" xfId="0" applyNumberFormat="1" applyFont="1" applyFill="1" applyBorder="1" applyAlignment="1" applyProtection="1">
      <alignment vertical="center"/>
      <protection locked="0"/>
    </xf>
    <xf numFmtId="49" fontId="0" fillId="0" borderId="0" xfId="0" applyNumberFormat="1"/>
    <xf numFmtId="49" fontId="32" fillId="2" borderId="0" xfId="0" applyNumberFormat="1" applyFont="1" applyFill="1" applyProtection="1"/>
    <xf numFmtId="49" fontId="32" fillId="2" borderId="0" xfId="0" applyNumberFormat="1" applyFont="1" applyFill="1" applyProtection="1">
      <protection hidden="1"/>
    </xf>
    <xf numFmtId="49" fontId="24" fillId="8" borderId="1" xfId="0" applyNumberFormat="1" applyFont="1" applyFill="1" applyBorder="1" applyAlignment="1" applyProtection="1">
      <alignment horizontal="left" vertical="center" indent="1"/>
    </xf>
    <xf numFmtId="49" fontId="24" fillId="8" borderId="1" xfId="0" applyNumberFormat="1" applyFont="1" applyFill="1" applyBorder="1" applyAlignment="1" applyProtection="1">
      <alignment horizontal="left" vertical="center" wrapText="1" indent="1"/>
    </xf>
    <xf numFmtId="49" fontId="24" fillId="8" borderId="1" xfId="0" applyNumberFormat="1" applyFont="1" applyFill="1" applyBorder="1" applyAlignment="1" applyProtection="1">
      <alignment horizontal="left" vertical="center" wrapText="1" indent="1"/>
      <protection locked="0"/>
    </xf>
    <xf numFmtId="49" fontId="23" fillId="8" borderId="1" xfId="0" applyNumberFormat="1" applyFont="1" applyFill="1" applyBorder="1" applyAlignment="1" applyProtection="1">
      <alignment horizontal="left" vertical="center" indent="1"/>
    </xf>
    <xf numFmtId="14" fontId="98" fillId="2" borderId="0" xfId="0" applyNumberFormat="1" applyFont="1" applyFill="1" applyProtection="1">
      <protection hidden="1"/>
    </xf>
    <xf numFmtId="14" fontId="98" fillId="2" borderId="0" xfId="0" applyNumberFormat="1" applyFont="1" applyFill="1" applyProtection="1"/>
    <xf numFmtId="180" fontId="16" fillId="0" borderId="0" xfId="5" applyNumberFormat="1"/>
    <xf numFmtId="49" fontId="16" fillId="0" borderId="0" xfId="5" applyNumberFormat="1"/>
    <xf numFmtId="14" fontId="16" fillId="0" borderId="0" xfId="5" applyNumberFormat="1"/>
    <xf numFmtId="49" fontId="28" fillId="0" borderId="114" xfId="0" applyNumberFormat="1" applyFont="1" applyFill="1" applyBorder="1" applyAlignment="1" applyProtection="1">
      <alignment horizontal="center" vertical="center" wrapText="1"/>
      <protection locked="0"/>
    </xf>
    <xf numFmtId="49" fontId="24" fillId="0" borderId="0" xfId="0" applyNumberFormat="1" applyFont="1" applyFill="1" applyBorder="1" applyAlignment="1" applyProtection="1">
      <alignment horizontal="left" vertical="center" wrapText="1"/>
    </xf>
    <xf numFmtId="49" fontId="43" fillId="16" borderId="33" xfId="0" applyNumberFormat="1" applyFont="1" applyFill="1" applyBorder="1" applyAlignment="1" applyProtection="1">
      <alignment horizontal="center" vertical="center" wrapText="1"/>
    </xf>
    <xf numFmtId="49" fontId="29" fillId="16" borderId="0" xfId="0" applyNumberFormat="1" applyFont="1" applyFill="1" applyBorder="1" applyAlignment="1" applyProtection="1">
      <alignment horizontal="center" vertical="center" wrapText="1"/>
    </xf>
    <xf numFmtId="49" fontId="27" fillId="2" borderId="114" xfId="0" applyNumberFormat="1" applyFont="1" applyFill="1" applyBorder="1" applyAlignment="1" applyProtection="1">
      <alignment wrapText="1"/>
      <protection locked="0"/>
    </xf>
    <xf numFmtId="49" fontId="28" fillId="0" borderId="106" xfId="0" applyNumberFormat="1" applyFont="1" applyFill="1" applyBorder="1" applyAlignment="1" applyProtection="1">
      <alignment horizontal="center" vertical="center" wrapText="1"/>
      <protection locked="0"/>
    </xf>
    <xf numFmtId="49" fontId="24" fillId="0" borderId="39" xfId="0" applyNumberFormat="1" applyFont="1" applyFill="1" applyBorder="1" applyAlignment="1" applyProtection="1">
      <alignment horizontal="center" vertical="center" wrapText="1"/>
      <protection locked="0"/>
    </xf>
    <xf numFmtId="49" fontId="24" fillId="0" borderId="1" xfId="0" applyNumberFormat="1" applyFont="1" applyFill="1" applyBorder="1" applyAlignment="1" applyProtection="1">
      <alignment horizontal="center" vertical="center" wrapText="1"/>
      <protection locked="0"/>
    </xf>
    <xf numFmtId="49" fontId="24" fillId="0" borderId="42" xfId="0" applyNumberFormat="1" applyFont="1" applyFill="1" applyBorder="1" applyAlignment="1" applyProtection="1">
      <alignment horizontal="center" vertical="center" wrapText="1"/>
      <protection locked="0"/>
    </xf>
    <xf numFmtId="49" fontId="41" fillId="2" borderId="0" xfId="0" applyNumberFormat="1" applyFont="1" applyFill="1" applyBorder="1" applyAlignment="1" applyProtection="1">
      <alignment horizontal="left"/>
    </xf>
    <xf numFmtId="49" fontId="41" fillId="2" borderId="33" xfId="0" applyNumberFormat="1" applyFont="1" applyFill="1" applyBorder="1" applyAlignment="1" applyProtection="1">
      <alignment horizontal="left"/>
    </xf>
    <xf numFmtId="49" fontId="29" fillId="4" borderId="0" xfId="0" applyNumberFormat="1" applyFont="1" applyFill="1" applyBorder="1" applyAlignment="1" applyProtection="1">
      <alignment horizontal="center" vertical="center" wrapText="1"/>
    </xf>
    <xf numFmtId="49" fontId="28" fillId="0" borderId="114" xfId="0" applyNumberFormat="1" applyFont="1" applyFill="1" applyBorder="1" applyAlignment="1" applyProtection="1">
      <alignment horizontal="left" vertical="center" wrapText="1"/>
      <protection locked="0"/>
    </xf>
    <xf numFmtId="0" fontId="16" fillId="0" borderId="114" xfId="5" applyFill="1" applyBorder="1"/>
    <xf numFmtId="49" fontId="16" fillId="0" borderId="114" xfId="5" applyNumberFormat="1" applyFill="1" applyBorder="1"/>
    <xf numFmtId="0" fontId="28" fillId="8" borderId="0" xfId="0" quotePrefix="1" applyNumberFormat="1" applyFont="1" applyFill="1" applyBorder="1" applyAlignment="1" applyProtection="1">
      <alignment horizontal="left" vertical="center" wrapText="1"/>
    </xf>
    <xf numFmtId="0" fontId="29" fillId="4" borderId="114" xfId="0" applyFont="1" applyFill="1" applyBorder="1" applyAlignment="1" applyProtection="1">
      <alignment horizontal="center" vertical="center"/>
    </xf>
    <xf numFmtId="49" fontId="28" fillId="8" borderId="114" xfId="0" applyNumberFormat="1" applyFont="1" applyFill="1" applyBorder="1" applyAlignment="1" applyProtection="1">
      <alignment vertical="center" wrapText="1"/>
    </xf>
    <xf numFmtId="49" fontId="28" fillId="8" borderId="114" xfId="0" applyNumberFormat="1" applyFont="1" applyFill="1" applyBorder="1" applyAlignment="1" applyProtection="1">
      <alignment horizontal="left" vertical="center" wrapText="1"/>
    </xf>
    <xf numFmtId="177" fontId="28" fillId="8" borderId="114" xfId="0" applyNumberFormat="1" applyFont="1" applyFill="1" applyBorder="1" applyAlignment="1" applyProtection="1">
      <alignment horizontal="left" vertical="center" wrapText="1"/>
    </xf>
    <xf numFmtId="176" fontId="28" fillId="8" borderId="114" xfId="0" applyNumberFormat="1" applyFont="1" applyFill="1" applyBorder="1" applyAlignment="1" applyProtection="1">
      <alignment horizontal="left" vertical="center" wrapText="1"/>
    </xf>
    <xf numFmtId="167" fontId="28" fillId="8" borderId="114" xfId="0" applyNumberFormat="1" applyFont="1" applyFill="1" applyBorder="1" applyAlignment="1" applyProtection="1">
      <alignment horizontal="left" vertical="center" wrapText="1"/>
    </xf>
    <xf numFmtId="177" fontId="28" fillId="0" borderId="114" xfId="7" applyNumberFormat="1" applyFont="1" applyFill="1" applyBorder="1" applyAlignment="1" applyProtection="1">
      <alignment horizontal="center" vertical="center" wrapText="1"/>
      <protection locked="0"/>
    </xf>
    <xf numFmtId="176" fontId="28" fillId="0" borderId="114" xfId="7" applyNumberFormat="1" applyFont="1" applyFill="1" applyBorder="1" applyAlignment="1" applyProtection="1">
      <alignment horizontal="center" vertical="center" wrapText="1"/>
      <protection locked="0"/>
    </xf>
    <xf numFmtId="3" fontId="28" fillId="0" borderId="114" xfId="0" applyNumberFormat="1" applyFont="1" applyFill="1" applyBorder="1" applyAlignment="1" applyProtection="1">
      <alignment horizontal="left" vertical="center" wrapText="1"/>
      <protection locked="0"/>
    </xf>
    <xf numFmtId="3" fontId="28" fillId="2" borderId="114" xfId="0" applyNumberFormat="1" applyFont="1" applyFill="1" applyBorder="1" applyAlignment="1" applyProtection="1">
      <alignment horizontal="center" vertical="center" wrapText="1"/>
      <protection locked="0"/>
    </xf>
    <xf numFmtId="177" fontId="28" fillId="0" borderId="114" xfId="0" applyNumberFormat="1" applyFont="1" applyBorder="1" applyAlignment="1" applyProtection="1">
      <alignment horizontal="center" vertical="center" wrapText="1"/>
      <protection locked="0"/>
    </xf>
    <xf numFmtId="176" fontId="28" fillId="0" borderId="114" xfId="0" applyNumberFormat="1" applyFont="1" applyBorder="1" applyAlignment="1" applyProtection="1">
      <alignment horizontal="center" vertical="center" wrapText="1"/>
      <protection locked="0"/>
    </xf>
    <xf numFmtId="0" fontId="28" fillId="6" borderId="114" xfId="0" applyNumberFormat="1" applyFont="1" applyFill="1" applyBorder="1" applyAlignment="1" applyProtection="1">
      <alignment horizontal="left" vertical="center" wrapText="1"/>
      <protection locked="0"/>
    </xf>
    <xf numFmtId="49" fontId="28" fillId="6" borderId="114" xfId="0" applyNumberFormat="1" applyFont="1" applyFill="1" applyBorder="1" applyAlignment="1" applyProtection="1">
      <alignment horizontal="left" vertical="center" wrapText="1"/>
      <protection locked="0"/>
    </xf>
    <xf numFmtId="49" fontId="28" fillId="6" borderId="114" xfId="0" applyNumberFormat="1" applyFont="1" applyFill="1" applyBorder="1" applyAlignment="1" applyProtection="1">
      <alignment horizontal="left" vertical="center" wrapText="1"/>
    </xf>
    <xf numFmtId="0" fontId="27" fillId="2" borderId="114" xfId="0" applyFont="1" applyFill="1" applyBorder="1" applyAlignment="1" applyProtection="1">
      <alignment vertical="center" wrapText="1"/>
    </xf>
    <xf numFmtId="0" fontId="32" fillId="2" borderId="114" xfId="0" applyFont="1" applyFill="1" applyBorder="1" applyAlignment="1" applyProtection="1">
      <alignment vertical="center" wrapText="1"/>
    </xf>
    <xf numFmtId="0" fontId="28" fillId="6" borderId="114" xfId="0" applyFont="1" applyFill="1" applyBorder="1" applyAlignment="1" applyProtection="1">
      <alignment vertical="center" wrapText="1"/>
    </xf>
    <xf numFmtId="0" fontId="28" fillId="6" borderId="114" xfId="0" applyNumberFormat="1" applyFont="1" applyFill="1" applyBorder="1" applyAlignment="1" applyProtection="1">
      <alignment horizontal="left" vertical="center" wrapText="1" indent="1"/>
      <protection locked="0"/>
    </xf>
    <xf numFmtId="49" fontId="28" fillId="6" borderId="114" xfId="0" applyNumberFormat="1" applyFont="1" applyFill="1" applyBorder="1" applyAlignment="1" applyProtection="1">
      <alignment horizontal="left" vertical="center" wrapText="1" indent="1"/>
      <protection locked="0"/>
    </xf>
    <xf numFmtId="49" fontId="28" fillId="6" borderId="114" xfId="0" applyNumberFormat="1" applyFont="1" applyFill="1" applyBorder="1" applyAlignment="1" applyProtection="1">
      <alignment horizontal="left" vertical="center" wrapText="1" indent="1"/>
    </xf>
    <xf numFmtId="0" fontId="74" fillId="15" borderId="114" xfId="8" applyFont="1" applyBorder="1" applyAlignment="1" applyProtection="1">
      <alignment vertical="center" wrapText="1"/>
    </xf>
    <xf numFmtId="0" fontId="32" fillId="0" borderId="114" xfId="0" applyFont="1" applyBorder="1" applyProtection="1"/>
    <xf numFmtId="49" fontId="74" fillId="8" borderId="114" xfId="8" applyNumberFormat="1" applyFont="1" applyFill="1" applyBorder="1" applyAlignment="1" applyProtection="1">
      <alignment horizontal="center" vertical="center" wrapText="1"/>
    </xf>
    <xf numFmtId="49" fontId="28" fillId="8" borderId="114" xfId="0" applyNumberFormat="1" applyFont="1" applyFill="1" applyBorder="1" applyAlignment="1" applyProtection="1">
      <alignment horizontal="center" vertical="center" wrapText="1"/>
    </xf>
    <xf numFmtId="177" fontId="28" fillId="6" borderId="114" xfId="0" applyNumberFormat="1" applyFont="1" applyFill="1" applyBorder="1" applyAlignment="1" applyProtection="1">
      <alignment horizontal="center" vertical="center" wrapText="1"/>
      <protection locked="0"/>
    </xf>
    <xf numFmtId="49" fontId="28" fillId="0" borderId="114" xfId="0" applyNumberFormat="1" applyFont="1" applyBorder="1" applyAlignment="1" applyProtection="1">
      <alignment horizontal="center" vertical="center" wrapText="1"/>
      <protection locked="0"/>
    </xf>
    <xf numFmtId="49" fontId="28" fillId="6" borderId="114" xfId="0" applyNumberFormat="1" applyFont="1" applyFill="1" applyBorder="1" applyAlignment="1" applyProtection="1">
      <alignment horizontal="center" vertical="center" wrapText="1"/>
      <protection locked="0"/>
    </xf>
    <xf numFmtId="0" fontId="28" fillId="0" borderId="114" xfId="0" applyFont="1" applyBorder="1" applyAlignment="1" applyProtection="1">
      <alignment horizontal="center" vertical="center" wrapText="1"/>
      <protection locked="0"/>
    </xf>
    <xf numFmtId="0" fontId="36" fillId="4" borderId="114" xfId="0" applyFont="1" applyFill="1" applyBorder="1" applyAlignment="1" applyProtection="1">
      <alignment horizontal="center" vertical="center" wrapText="1"/>
    </xf>
    <xf numFmtId="0" fontId="29" fillId="16" borderId="114" xfId="0" applyFont="1" applyFill="1" applyBorder="1" applyAlignment="1" applyProtection="1">
      <alignment horizontal="center" vertical="center"/>
    </xf>
    <xf numFmtId="0" fontId="29" fillId="17" borderId="114" xfId="0" applyFont="1" applyFill="1" applyBorder="1" applyAlignment="1" applyProtection="1">
      <alignment horizontal="center" vertical="center"/>
    </xf>
    <xf numFmtId="177" fontId="28" fillId="8" borderId="114" xfId="0" applyNumberFormat="1" applyFont="1" applyFill="1" applyBorder="1" applyAlignment="1" applyProtection="1">
      <alignment horizontal="center" vertical="center" wrapText="1"/>
    </xf>
    <xf numFmtId="176" fontId="28" fillId="8" borderId="114" xfId="0" applyNumberFormat="1" applyFont="1" applyFill="1" applyBorder="1" applyAlignment="1" applyProtection="1">
      <alignment horizontal="center" vertical="center" wrapText="1"/>
    </xf>
    <xf numFmtId="3" fontId="28" fillId="8" borderId="114" xfId="0" applyNumberFormat="1" applyFont="1" applyFill="1" applyBorder="1" applyAlignment="1" applyProtection="1">
      <alignment horizontal="left" vertical="center" wrapText="1"/>
    </xf>
    <xf numFmtId="3" fontId="28" fillId="0" borderId="114" xfId="0" applyNumberFormat="1" applyFont="1" applyFill="1" applyBorder="1" applyAlignment="1" applyProtection="1">
      <alignment horizontal="center" vertical="center" wrapText="1"/>
      <protection locked="0"/>
    </xf>
    <xf numFmtId="176" fontId="28" fillId="0" borderId="114" xfId="0" applyNumberFormat="1" applyFont="1" applyFill="1" applyBorder="1" applyAlignment="1" applyProtection="1">
      <alignment horizontal="center" vertical="center" wrapText="1"/>
      <protection locked="0"/>
    </xf>
    <xf numFmtId="9" fontId="28" fillId="8" borderId="114" xfId="0" applyNumberFormat="1" applyFont="1" applyFill="1" applyBorder="1" applyAlignment="1" applyProtection="1">
      <alignment horizontal="center" vertical="center" wrapText="1"/>
    </xf>
    <xf numFmtId="177" fontId="28" fillId="0" borderId="114" xfId="0" applyNumberFormat="1" applyFont="1" applyFill="1" applyBorder="1" applyAlignment="1" applyProtection="1">
      <alignment horizontal="center" vertical="center" wrapText="1"/>
      <protection locked="0"/>
    </xf>
    <xf numFmtId="9" fontId="28" fillId="0" borderId="114" xfId="0" applyNumberFormat="1" applyFont="1" applyFill="1" applyBorder="1" applyAlignment="1" applyProtection="1">
      <alignment horizontal="center" vertical="center" wrapText="1"/>
      <protection locked="0"/>
    </xf>
    <xf numFmtId="9" fontId="28" fillId="0" borderId="114" xfId="0" applyNumberFormat="1" applyFont="1" applyFill="1" applyBorder="1" applyAlignment="1" applyProtection="1">
      <alignment horizontal="center" vertical="center"/>
      <protection locked="0"/>
    </xf>
    <xf numFmtId="0" fontId="28" fillId="0" borderId="114" xfId="0" applyFont="1" applyFill="1" applyBorder="1" applyAlignment="1" applyProtection="1">
      <alignment horizontal="left" vertical="center"/>
      <protection locked="0"/>
    </xf>
    <xf numFmtId="0" fontId="32" fillId="0" borderId="114" xfId="0" applyFont="1" applyBorder="1" applyProtection="1">
      <protection hidden="1"/>
    </xf>
    <xf numFmtId="49" fontId="72" fillId="8" borderId="114" xfId="8" applyNumberFormat="1" applyFont="1" applyFill="1" applyBorder="1" applyAlignment="1" applyProtection="1">
      <alignment vertical="center" wrapText="1"/>
    </xf>
    <xf numFmtId="0" fontId="28" fillId="8" borderId="114" xfId="0" applyFont="1" applyFill="1" applyBorder="1" applyAlignment="1" applyProtection="1">
      <alignment vertical="center" wrapText="1"/>
    </xf>
    <xf numFmtId="177" fontId="28" fillId="8" borderId="114" xfId="0" applyNumberFormat="1" applyFont="1" applyFill="1" applyBorder="1" applyAlignment="1" applyProtection="1">
      <alignment vertical="center" wrapText="1"/>
    </xf>
    <xf numFmtId="176" fontId="28" fillId="8" borderId="114" xfId="0" applyNumberFormat="1" applyFont="1" applyFill="1" applyBorder="1" applyAlignment="1" applyProtection="1">
      <alignment vertical="center" wrapText="1"/>
    </xf>
    <xf numFmtId="9" fontId="24" fillId="0" borderId="114" xfId="0" applyNumberFormat="1" applyFont="1" applyFill="1" applyBorder="1" applyAlignment="1" applyProtection="1">
      <alignment horizontal="center" vertical="center"/>
      <protection locked="0"/>
    </xf>
    <xf numFmtId="0" fontId="24" fillId="0" borderId="114" xfId="0" applyFont="1" applyFill="1" applyBorder="1" applyAlignment="1" applyProtection="1">
      <alignment horizontal="left" vertical="center"/>
      <protection locked="0"/>
    </xf>
    <xf numFmtId="0" fontId="32" fillId="0" borderId="114" xfId="0" applyFont="1" applyBorder="1" applyAlignment="1" applyProtection="1">
      <protection hidden="1"/>
    </xf>
    <xf numFmtId="49" fontId="28" fillId="0" borderId="114" xfId="0" applyNumberFormat="1" applyFont="1" applyBorder="1" applyAlignment="1" applyProtection="1">
      <alignment horizontal="left" vertical="center" wrapText="1"/>
      <protection locked="0"/>
    </xf>
    <xf numFmtId="0" fontId="69" fillId="9" borderId="114" xfId="5" applyFont="1" applyFill="1" applyBorder="1" applyAlignment="1" applyProtection="1">
      <alignment horizontal="left" vertical="center" wrapText="1"/>
    </xf>
    <xf numFmtId="0" fontId="29" fillId="4" borderId="114" xfId="5" applyFont="1" applyFill="1" applyBorder="1" applyAlignment="1" applyProtection="1">
      <alignment horizontal="center" vertical="center" wrapText="1"/>
    </xf>
    <xf numFmtId="0" fontId="28" fillId="0" borderId="114" xfId="5" applyFont="1" applyBorder="1" applyProtection="1">
      <protection locked="0"/>
    </xf>
    <xf numFmtId="0" fontId="101" fillId="0" borderId="114" xfId="5" applyFont="1" applyBorder="1" applyProtection="1">
      <protection locked="0"/>
    </xf>
    <xf numFmtId="0" fontId="101" fillId="0" borderId="114" xfId="5" applyFont="1" applyBorder="1" applyProtection="1"/>
    <xf numFmtId="49" fontId="28" fillId="9" borderId="114" xfId="5" applyNumberFormat="1" applyFont="1" applyFill="1" applyBorder="1" applyAlignment="1" applyProtection="1">
      <alignment horizontal="left" vertical="top" wrapText="1"/>
    </xf>
    <xf numFmtId="174" fontId="28" fillId="12" borderId="114" xfId="5" applyNumberFormat="1" applyFont="1" applyFill="1" applyBorder="1" applyAlignment="1" applyProtection="1">
      <alignment vertical="center"/>
    </xf>
    <xf numFmtId="170" fontId="28" fillId="12" borderId="114" xfId="10" applyNumberFormat="1" applyFont="1" applyFill="1" applyBorder="1" applyAlignment="1" applyProtection="1">
      <alignment vertical="center"/>
    </xf>
    <xf numFmtId="49" fontId="79" fillId="13" borderId="114" xfId="5" applyNumberFormat="1" applyFont="1" applyFill="1" applyBorder="1" applyAlignment="1" applyProtection="1">
      <alignment vertical="center" wrapText="1"/>
      <protection locked="0"/>
    </xf>
    <xf numFmtId="180" fontId="101" fillId="0" borderId="114" xfId="5" applyNumberFormat="1" applyFont="1" applyBorder="1" applyProtection="1"/>
    <xf numFmtId="0" fontId="69" fillId="9" borderId="114" xfId="5" applyFont="1" applyFill="1" applyBorder="1" applyAlignment="1" applyProtection="1">
      <alignment horizontal="center" vertical="center"/>
    </xf>
    <xf numFmtId="0" fontId="28" fillId="0" borderId="114" xfId="5" applyFont="1" applyBorder="1" applyAlignment="1" applyProtection="1">
      <alignment vertical="center"/>
      <protection locked="0"/>
    </xf>
    <xf numFmtId="0" fontId="101" fillId="0" borderId="114" xfId="5" applyFont="1" applyBorder="1" applyAlignment="1" applyProtection="1">
      <alignment vertical="center"/>
      <protection locked="0"/>
    </xf>
    <xf numFmtId="0" fontId="101" fillId="0" borderId="114" xfId="5" applyFont="1" applyBorder="1" applyAlignment="1" applyProtection="1">
      <alignment vertical="center"/>
    </xf>
    <xf numFmtId="49" fontId="28" fillId="9" borderId="114" xfId="5" applyNumberFormat="1" applyFont="1" applyFill="1" applyBorder="1" applyAlignment="1" applyProtection="1">
      <alignment vertical="top" wrapText="1"/>
    </xf>
    <xf numFmtId="49" fontId="79" fillId="13" borderId="114" xfId="5" applyNumberFormat="1" applyFont="1" applyFill="1" applyBorder="1" applyAlignment="1" applyProtection="1">
      <alignment horizontal="left" vertical="center" wrapText="1"/>
      <protection locked="0"/>
    </xf>
    <xf numFmtId="0" fontId="65" fillId="9" borderId="114" xfId="5" applyFont="1" applyFill="1" applyBorder="1" applyAlignment="1" applyProtection="1">
      <alignment vertical="center"/>
    </xf>
    <xf numFmtId="0" fontId="27" fillId="0" borderId="114" xfId="5" applyFont="1" applyBorder="1"/>
    <xf numFmtId="0" fontId="98" fillId="0" borderId="114" xfId="5" applyFont="1" applyBorder="1"/>
    <xf numFmtId="49" fontId="27" fillId="9" borderId="114" xfId="5" applyNumberFormat="1" applyFont="1" applyFill="1" applyBorder="1" applyAlignment="1" applyProtection="1">
      <alignment horizontal="left" vertical="center" wrapText="1"/>
    </xf>
    <xf numFmtId="174" fontId="24" fillId="12" borderId="114" xfId="5" applyNumberFormat="1" applyFont="1" applyFill="1" applyBorder="1" applyAlignment="1" applyProtection="1">
      <alignment vertical="center"/>
    </xf>
    <xf numFmtId="174" fontId="24" fillId="13" borderId="114" xfId="5" applyNumberFormat="1" applyFont="1" applyFill="1" applyBorder="1" applyAlignment="1" applyProtection="1">
      <alignment vertical="center"/>
      <protection locked="0"/>
    </xf>
    <xf numFmtId="170" fontId="24" fillId="12" borderId="114" xfId="10" applyNumberFormat="1" applyFont="1" applyFill="1" applyBorder="1" applyAlignment="1" applyProtection="1">
      <alignment vertical="center"/>
    </xf>
    <xf numFmtId="174" fontId="24" fillId="12" borderId="114" xfId="5" applyNumberFormat="1" applyFont="1" applyFill="1" applyBorder="1" applyAlignment="1" applyProtection="1">
      <alignment vertical="center"/>
      <protection locked="0"/>
    </xf>
    <xf numFmtId="0" fontId="59" fillId="0" borderId="114" xfId="5" applyFont="1" applyBorder="1"/>
    <xf numFmtId="180" fontId="98" fillId="0" borderId="114" xfId="5" applyNumberFormat="1" applyFont="1" applyBorder="1"/>
    <xf numFmtId="0" fontId="59" fillId="0" borderId="114" xfId="5" applyFont="1" applyBorder="1" applyAlignment="1">
      <alignment vertical="center"/>
    </xf>
    <xf numFmtId="0" fontId="98" fillId="26" borderId="114" xfId="5" applyFont="1" applyFill="1" applyBorder="1" applyAlignment="1">
      <alignment vertical="center"/>
    </xf>
    <xf numFmtId="49" fontId="27" fillId="9" borderId="114" xfId="5" applyNumberFormat="1" applyFont="1" applyFill="1" applyBorder="1" applyAlignment="1" applyProtection="1">
      <alignment horizontal="left" vertical="center" wrapText="1"/>
      <protection locked="0"/>
    </xf>
    <xf numFmtId="0" fontId="98" fillId="26" borderId="114" xfId="5" applyFont="1" applyFill="1" applyBorder="1"/>
    <xf numFmtId="0" fontId="27" fillId="0" borderId="114" xfId="5" applyFont="1" applyBorder="1" applyAlignment="1">
      <alignment vertical="center"/>
    </xf>
    <xf numFmtId="49" fontId="27" fillId="9" borderId="114" xfId="5" applyNumberFormat="1" applyFont="1" applyFill="1" applyBorder="1" applyAlignment="1" applyProtection="1">
      <alignment vertical="top"/>
      <protection locked="0"/>
    </xf>
    <xf numFmtId="174" fontId="27" fillId="13" borderId="114" xfId="5" applyNumberFormat="1" applyFont="1" applyFill="1" applyBorder="1" applyAlignment="1" applyProtection="1">
      <alignment vertical="center"/>
      <protection locked="0"/>
    </xf>
    <xf numFmtId="181" fontId="16" fillId="0" borderId="114" xfId="5" applyNumberFormat="1" applyFill="1" applyBorder="1"/>
    <xf numFmtId="0" fontId="65" fillId="9" borderId="114" xfId="57" applyFont="1" applyFill="1" applyBorder="1" applyAlignment="1" applyProtection="1">
      <alignment vertical="center"/>
    </xf>
    <xf numFmtId="0" fontId="28" fillId="0" borderId="114" xfId="6" applyFont="1" applyFill="1" applyBorder="1" applyAlignment="1" applyProtection="1">
      <alignment vertical="center"/>
    </xf>
    <xf numFmtId="169" fontId="23" fillId="16" borderId="114" xfId="57" applyNumberFormat="1" applyFont="1" applyFill="1" applyBorder="1" applyAlignment="1" applyProtection="1">
      <alignment horizontal="center" vertical="center" wrapText="1"/>
    </xf>
    <xf numFmtId="0" fontId="39" fillId="0" borderId="114" xfId="57" applyFont="1" applyFill="1" applyBorder="1" applyAlignment="1" applyProtection="1">
      <alignment vertical="center"/>
      <protection locked="0"/>
    </xf>
    <xf numFmtId="0" fontId="95" fillId="0" borderId="114" xfId="57" applyFont="1" applyFill="1" applyBorder="1" applyProtection="1"/>
    <xf numFmtId="0" fontId="95" fillId="0" borderId="114" xfId="57" applyFont="1" applyFill="1" applyBorder="1" applyProtection="1">
      <protection locked="0"/>
    </xf>
    <xf numFmtId="49" fontId="39" fillId="9" borderId="114" xfId="57" applyNumberFormat="1" applyFont="1" applyFill="1" applyBorder="1" applyAlignment="1" applyProtection="1">
      <alignment horizontal="left" vertical="center" wrapText="1"/>
    </xf>
    <xf numFmtId="0" fontId="39" fillId="9" borderId="114" xfId="57" applyFont="1" applyFill="1" applyBorder="1" applyAlignment="1" applyProtection="1">
      <alignment horizontal="left" vertical="center"/>
    </xf>
    <xf numFmtId="174" fontId="24" fillId="12" borderId="114" xfId="0" applyNumberFormat="1" applyFont="1" applyFill="1" applyBorder="1" applyAlignment="1" applyProtection="1">
      <alignment vertical="center"/>
    </xf>
    <xf numFmtId="174" fontId="24" fillId="13" borderId="114" xfId="57" applyNumberFormat="1" applyFont="1" applyFill="1" applyBorder="1" applyAlignment="1" applyProtection="1">
      <alignment vertical="center"/>
      <protection locked="0"/>
    </xf>
    <xf numFmtId="174" fontId="24" fillId="12" borderId="114" xfId="57" applyNumberFormat="1" applyFont="1" applyFill="1" applyBorder="1" applyAlignment="1" applyProtection="1">
      <alignment vertical="center"/>
    </xf>
    <xf numFmtId="169" fontId="24" fillId="13" borderId="114" xfId="0" applyNumberFormat="1" applyFont="1" applyFill="1" applyBorder="1" applyAlignment="1" applyProtection="1">
      <alignment horizontal="left" vertical="center" wrapText="1"/>
      <protection locked="0"/>
    </xf>
    <xf numFmtId="49" fontId="24" fillId="0" borderId="114" xfId="57" applyNumberFormat="1" applyFont="1" applyFill="1" applyBorder="1" applyAlignment="1" applyProtection="1">
      <alignment vertical="center"/>
    </xf>
    <xf numFmtId="174" fontId="24" fillId="13" borderId="114" xfId="0" applyNumberFormat="1" applyFont="1" applyFill="1" applyBorder="1" applyAlignment="1" applyProtection="1">
      <alignment vertical="center"/>
      <protection locked="0"/>
    </xf>
    <xf numFmtId="169" fontId="24" fillId="13" borderId="114" xfId="57" applyNumberFormat="1" applyFont="1" applyFill="1" applyBorder="1" applyAlignment="1" applyProtection="1">
      <alignment horizontal="left" vertical="center" wrapText="1"/>
      <protection locked="0"/>
    </xf>
    <xf numFmtId="0" fontId="39" fillId="0" borderId="114" xfId="57" applyFont="1" applyFill="1" applyBorder="1" applyProtection="1">
      <protection locked="0"/>
    </xf>
    <xf numFmtId="180" fontId="95" fillId="0" borderId="114" xfId="57" applyNumberFormat="1" applyFont="1" applyFill="1" applyBorder="1" applyProtection="1">
      <protection locked="0"/>
    </xf>
    <xf numFmtId="0" fontId="69" fillId="9" borderId="114" xfId="5" applyFont="1" applyFill="1" applyBorder="1" applyAlignment="1" applyProtection="1">
      <alignment horizontal="center" vertical="center" wrapText="1"/>
    </xf>
    <xf numFmtId="169" fontId="23" fillId="0" borderId="114" xfId="57" applyNumberFormat="1" applyFont="1" applyFill="1" applyBorder="1" applyAlignment="1" applyProtection="1">
      <alignment horizontal="center" vertical="center" wrapText="1"/>
    </xf>
    <xf numFmtId="0" fontId="39" fillId="0" borderId="114" xfId="57" applyFont="1" applyFill="1" applyBorder="1" applyProtection="1"/>
    <xf numFmtId="169" fontId="24" fillId="13" borderId="114" xfId="57" applyNumberFormat="1" applyFont="1" applyFill="1" applyBorder="1" applyAlignment="1" applyProtection="1">
      <alignment vertical="center" wrapText="1"/>
      <protection locked="0"/>
    </xf>
    <xf numFmtId="0" fontId="65" fillId="9" borderId="114" xfId="0" applyFont="1" applyFill="1" applyBorder="1" applyAlignment="1" applyProtection="1">
      <alignment vertical="center"/>
    </xf>
    <xf numFmtId="0" fontId="39" fillId="9" borderId="114" xfId="57" applyFont="1" applyFill="1" applyBorder="1" applyAlignment="1" applyProtection="1">
      <alignment horizontal="left" vertical="center" wrapText="1"/>
    </xf>
    <xf numFmtId="49" fontId="28" fillId="13" borderId="114" xfId="0" applyNumberFormat="1" applyFont="1" applyFill="1" applyBorder="1" applyAlignment="1" applyProtection="1">
      <alignment vertical="center"/>
      <protection locked="0"/>
    </xf>
    <xf numFmtId="178" fontId="28" fillId="13" borderId="114" xfId="0" applyNumberFormat="1" applyFont="1" applyFill="1" applyBorder="1" applyAlignment="1" applyProtection="1">
      <alignment vertical="center"/>
      <protection locked="0"/>
    </xf>
    <xf numFmtId="178" fontId="28" fillId="12" borderId="114" xfId="0" applyNumberFormat="1" applyFont="1" applyFill="1" applyBorder="1" applyAlignment="1" applyProtection="1">
      <alignment vertical="center"/>
    </xf>
    <xf numFmtId="169" fontId="28" fillId="0" borderId="114" xfId="0" applyNumberFormat="1" applyFont="1" applyFill="1" applyBorder="1" applyAlignment="1" applyProtection="1">
      <alignment horizontal="left" vertical="center" wrapText="1"/>
      <protection locked="0"/>
    </xf>
    <xf numFmtId="8" fontId="28" fillId="13" borderId="114" xfId="1" applyNumberFormat="1" applyFont="1" applyFill="1" applyBorder="1" applyAlignment="1" applyProtection="1">
      <alignment vertical="center"/>
      <protection locked="0"/>
    </xf>
    <xf numFmtId="8" fontId="28" fillId="12" borderId="114" xfId="0" applyNumberFormat="1" applyFont="1" applyFill="1" applyBorder="1" applyAlignment="1" applyProtection="1">
      <alignment vertical="center"/>
    </xf>
    <xf numFmtId="6" fontId="28" fillId="13" borderId="114" xfId="1" applyNumberFormat="1" applyFont="1" applyFill="1" applyBorder="1" applyAlignment="1" applyProtection="1">
      <alignment vertical="center"/>
      <protection locked="0"/>
    </xf>
    <xf numFmtId="6" fontId="28" fillId="12" borderId="114" xfId="0" applyNumberFormat="1" applyFont="1" applyFill="1" applyBorder="1" applyAlignment="1" applyProtection="1">
      <alignment vertical="center"/>
    </xf>
    <xf numFmtId="0" fontId="28" fillId="0" borderId="114" xfId="0" applyFont="1" applyBorder="1" applyAlignment="1" applyProtection="1">
      <alignment horizontal="left" vertical="center"/>
      <protection locked="0"/>
    </xf>
    <xf numFmtId="0" fontId="32" fillId="0" borderId="114" xfId="0" applyFont="1" applyFill="1" applyBorder="1" applyProtection="1"/>
    <xf numFmtId="0" fontId="27" fillId="0" borderId="114" xfId="0" applyFont="1" applyFill="1" applyBorder="1" applyAlignment="1" applyProtection="1">
      <alignment horizontal="left" vertical="center"/>
    </xf>
    <xf numFmtId="0" fontId="94" fillId="0" borderId="114" xfId="0" applyFont="1" applyFill="1" applyBorder="1" applyAlignment="1">
      <alignment horizontal="center" vertical="center" wrapText="1"/>
    </xf>
    <xf numFmtId="174" fontId="23" fillId="12" borderId="114" xfId="57" applyNumberFormat="1" applyFont="1" applyFill="1" applyBorder="1" applyAlignment="1" applyProtection="1">
      <alignment vertical="center"/>
    </xf>
    <xf numFmtId="0" fontId="96" fillId="0" borderId="114" xfId="57" applyFont="1" applyFill="1" applyBorder="1" applyProtection="1"/>
    <xf numFmtId="49" fontId="27" fillId="9" borderId="114" xfId="0" quotePrefix="1" applyNumberFormat="1" applyFont="1" applyFill="1" applyBorder="1" applyAlignment="1" applyProtection="1">
      <alignment horizontal="left" vertical="center" wrapText="1"/>
    </xf>
    <xf numFmtId="0" fontId="27" fillId="9" borderId="114" xfId="0" applyFont="1" applyFill="1" applyBorder="1" applyAlignment="1" applyProtection="1">
      <alignment horizontal="left" vertical="center" wrapText="1"/>
    </xf>
    <xf numFmtId="174" fontId="24" fillId="13" borderId="114" xfId="57" applyNumberFormat="1" applyFont="1" applyFill="1" applyBorder="1" applyAlignment="1" applyProtection="1">
      <alignment vertical="center"/>
    </xf>
    <xf numFmtId="14" fontId="16" fillId="0" borderId="114" xfId="5" applyNumberFormat="1" applyFill="1" applyBorder="1"/>
    <xf numFmtId="0" fontId="0" fillId="0" borderId="114" xfId="0" applyFill="1" applyBorder="1"/>
    <xf numFmtId="49" fontId="0" fillId="0" borderId="114" xfId="0" applyNumberFormat="1" applyFill="1" applyBorder="1"/>
    <xf numFmtId="0" fontId="0" fillId="0" borderId="146" xfId="0" applyFill="1" applyBorder="1"/>
    <xf numFmtId="49" fontId="0" fillId="0" borderId="146" xfId="0" applyNumberFormat="1" applyFill="1" applyBorder="1"/>
    <xf numFmtId="0" fontId="104" fillId="0" borderId="114" xfId="0" applyFont="1" applyFill="1" applyBorder="1"/>
    <xf numFmtId="0" fontId="28" fillId="0" borderId="114" xfId="5" applyFont="1" applyFill="1" applyBorder="1" applyAlignment="1" applyProtection="1">
      <alignment vertical="top" wrapText="1"/>
      <protection locked="0"/>
    </xf>
    <xf numFmtId="174" fontId="28" fillId="0" borderId="114" xfId="5" applyNumberFormat="1" applyFont="1" applyFill="1" applyBorder="1" applyAlignment="1" applyProtection="1">
      <alignment vertical="center"/>
      <protection locked="0"/>
    </xf>
    <xf numFmtId="174" fontId="28" fillId="0" borderId="114" xfId="5" applyNumberFormat="1" applyFont="1" applyFill="1" applyBorder="1" applyAlignment="1" applyProtection="1">
      <alignment vertical="center"/>
    </xf>
    <xf numFmtId="170" fontId="28" fillId="0" borderId="114" xfId="10" applyNumberFormat="1" applyFont="1" applyFill="1" applyBorder="1" applyAlignment="1" applyProtection="1">
      <alignment vertical="center"/>
    </xf>
    <xf numFmtId="49" fontId="28" fillId="0" borderId="114" xfId="5" applyNumberFormat="1" applyFont="1" applyFill="1" applyBorder="1" applyAlignment="1" applyProtection="1">
      <alignment horizontal="left" vertical="center" wrapText="1"/>
      <protection locked="0"/>
    </xf>
    <xf numFmtId="49" fontId="28" fillId="13" borderId="114" xfId="5" applyNumberFormat="1" applyFont="1" applyFill="1" applyBorder="1" applyAlignment="1" applyProtection="1">
      <alignment vertical="top" wrapText="1"/>
      <protection locked="0"/>
    </xf>
    <xf numFmtId="0" fontId="27" fillId="0" borderId="114" xfId="5" applyFont="1" applyFill="1" applyBorder="1" applyAlignment="1" applyProtection="1">
      <alignment horizontal="left" vertical="center" wrapText="1"/>
      <protection locked="0"/>
    </xf>
    <xf numFmtId="174" fontId="24" fillId="0" borderId="114" xfId="5" applyNumberFormat="1" applyFont="1" applyFill="1" applyBorder="1" applyAlignment="1" applyProtection="1">
      <alignment vertical="center"/>
    </xf>
    <xf numFmtId="174" fontId="24" fillId="0" borderId="114" xfId="5" applyNumberFormat="1" applyFont="1" applyFill="1" applyBorder="1" applyAlignment="1" applyProtection="1">
      <alignment vertical="center"/>
      <protection locked="0"/>
    </xf>
    <xf numFmtId="170" fontId="24" fillId="0" borderId="114" xfId="10" applyNumberFormat="1" applyFont="1" applyFill="1" applyBorder="1" applyAlignment="1" applyProtection="1">
      <alignment vertical="center"/>
    </xf>
    <xf numFmtId="49" fontId="24" fillId="0" borderId="114" xfId="5" applyNumberFormat="1" applyFont="1" applyFill="1" applyBorder="1" applyAlignment="1" applyProtection="1">
      <alignment horizontal="left" vertical="center" wrapText="1"/>
      <protection locked="0"/>
    </xf>
    <xf numFmtId="49" fontId="39" fillId="13" borderId="114" xfId="5" applyNumberFormat="1" applyFont="1" applyFill="1" applyBorder="1" applyAlignment="1" applyProtection="1">
      <alignment vertical="center"/>
      <protection locked="0"/>
    </xf>
    <xf numFmtId="0" fontId="39" fillId="0" borderId="114" xfId="57" applyFont="1" applyFill="1" applyBorder="1" applyAlignment="1" applyProtection="1">
      <alignment horizontal="left" vertical="center"/>
    </xf>
    <xf numFmtId="174" fontId="24" fillId="0" borderId="114" xfId="0" applyNumberFormat="1" applyFont="1" applyFill="1" applyBorder="1" applyAlignment="1" applyProtection="1">
      <alignment vertical="center"/>
      <protection locked="0"/>
    </xf>
    <xf numFmtId="174" fontId="24" fillId="0" borderId="114" xfId="57" applyNumberFormat="1" applyFont="1" applyFill="1" applyBorder="1" applyAlignment="1" applyProtection="1">
      <alignment vertical="center"/>
    </xf>
    <xf numFmtId="169" fontId="24" fillId="0" borderId="114" xfId="0" applyNumberFormat="1" applyFont="1" applyFill="1" applyBorder="1" applyAlignment="1" applyProtection="1">
      <alignment horizontal="left" vertical="center" wrapText="1"/>
      <protection locked="0"/>
    </xf>
    <xf numFmtId="174" fontId="24" fillId="0" borderId="114" xfId="57" applyNumberFormat="1" applyFont="1" applyFill="1" applyBorder="1" applyAlignment="1" applyProtection="1">
      <alignment vertical="center"/>
      <protection locked="0"/>
    </xf>
    <xf numFmtId="169" fontId="24" fillId="0" borderId="114" xfId="57" applyNumberFormat="1" applyFont="1" applyFill="1" applyBorder="1" applyAlignment="1" applyProtection="1">
      <alignment horizontal="left" vertical="center" wrapText="1"/>
      <protection locked="0"/>
    </xf>
    <xf numFmtId="49" fontId="39" fillId="13" borderId="114" xfId="57" applyNumberFormat="1" applyFont="1" applyFill="1" applyBorder="1" applyAlignment="1" applyProtection="1">
      <alignment horizontal="left" vertical="center" wrapText="1"/>
      <protection locked="0"/>
    </xf>
    <xf numFmtId="180" fontId="0" fillId="0" borderId="114" xfId="0" applyNumberFormat="1" applyFill="1" applyBorder="1"/>
    <xf numFmtId="182" fontId="28" fillId="13" borderId="1" xfId="107" applyNumberFormat="1" applyFont="1" applyFill="1" applyBorder="1" applyAlignment="1" applyProtection="1">
      <alignment vertical="center"/>
      <protection locked="0"/>
    </xf>
    <xf numFmtId="49" fontId="28" fillId="9" borderId="114" xfId="5" applyNumberFormat="1" applyFont="1" applyFill="1" applyBorder="1" applyAlignment="1" applyProtection="1">
      <alignment vertical="top" wrapText="1"/>
      <protection locked="0"/>
    </xf>
    <xf numFmtId="169" fontId="79" fillId="6" borderId="17" xfId="0" applyNumberFormat="1" applyFont="1" applyFill="1" applyBorder="1" applyAlignment="1" applyProtection="1">
      <alignment vertical="center" wrapText="1"/>
      <protection locked="0"/>
    </xf>
    <xf numFmtId="169" fontId="79" fillId="6" borderId="4" xfId="0" applyNumberFormat="1" applyFont="1" applyFill="1" applyBorder="1" applyAlignment="1" applyProtection="1">
      <alignment vertical="center" wrapText="1"/>
      <protection locked="0"/>
    </xf>
    <xf numFmtId="169" fontId="91" fillId="0" borderId="13" xfId="0" applyNumberFormat="1" applyFont="1" applyFill="1" applyBorder="1" applyAlignment="1" applyProtection="1">
      <alignment vertical="center" wrapText="1"/>
      <protection locked="0"/>
    </xf>
    <xf numFmtId="169" fontId="79" fillId="0" borderId="4" xfId="0" applyNumberFormat="1" applyFont="1" applyFill="1" applyBorder="1" applyAlignment="1" applyProtection="1">
      <alignment vertical="center" wrapText="1"/>
      <protection locked="0"/>
    </xf>
    <xf numFmtId="169" fontId="79" fillId="0" borderId="13" xfId="0" applyNumberFormat="1" applyFont="1" applyFill="1" applyBorder="1" applyAlignment="1" applyProtection="1">
      <alignment vertical="center" wrapText="1"/>
      <protection locked="0"/>
    </xf>
    <xf numFmtId="164" fontId="29" fillId="12" borderId="125" xfId="1" applyFont="1" applyFill="1" applyBorder="1" applyAlignment="1" applyProtection="1">
      <alignment vertical="center"/>
    </xf>
    <xf numFmtId="0" fontId="2" fillId="0" borderId="1" xfId="103" applyFont="1" applyBorder="1" applyProtection="1">
      <protection locked="0"/>
    </xf>
    <xf numFmtId="164" fontId="67" fillId="0" borderId="0" xfId="1" applyFont="1" applyProtection="1"/>
    <xf numFmtId="164" fontId="33" fillId="9" borderId="33" xfId="1" applyFont="1" applyFill="1" applyBorder="1" applyAlignment="1" applyProtection="1">
      <alignment vertical="center" wrapText="1"/>
    </xf>
    <xf numFmtId="164" fontId="33" fillId="9" borderId="10" xfId="1" applyFont="1" applyFill="1" applyBorder="1" applyAlignment="1" applyProtection="1">
      <alignment vertical="center" wrapText="1"/>
    </xf>
    <xf numFmtId="164" fontId="33" fillId="6" borderId="0" xfId="1" applyFont="1" applyFill="1" applyBorder="1" applyAlignment="1" applyProtection="1">
      <alignment horizontal="left" vertical="center" wrapText="1"/>
    </xf>
    <xf numFmtId="164" fontId="33" fillId="0" borderId="0" xfId="1" applyFont="1" applyAlignment="1" applyProtection="1">
      <alignment horizontal="left" vertical="center" wrapText="1"/>
    </xf>
    <xf numFmtId="164" fontId="29" fillId="4" borderId="114" xfId="1" quotePrefix="1" applyFont="1" applyFill="1" applyBorder="1" applyAlignment="1" applyProtection="1">
      <alignment horizontal="center" vertical="center" wrapText="1"/>
    </xf>
    <xf numFmtId="164" fontId="28" fillId="12" borderId="114" xfId="1" applyFont="1" applyFill="1" applyBorder="1" applyAlignment="1" applyProtection="1">
      <alignment vertical="center"/>
    </xf>
    <xf numFmtId="164" fontId="27" fillId="0" borderId="125" xfId="1" applyFont="1" applyBorder="1" applyProtection="1"/>
    <xf numFmtId="164" fontId="27" fillId="0" borderId="10" xfId="1" applyFont="1" applyBorder="1" applyProtection="1"/>
    <xf numFmtId="164" fontId="28" fillId="0" borderId="0" xfId="1" applyFont="1" applyBorder="1" applyProtection="1"/>
    <xf numFmtId="164" fontId="27" fillId="0" borderId="0" xfId="1" applyFont="1" applyProtection="1"/>
    <xf numFmtId="0" fontId="27" fillId="8" borderId="114" xfId="0" applyFont="1" applyFill="1" applyBorder="1" applyAlignment="1" applyProtection="1">
      <alignment horizontal="left" vertical="top" wrapText="1"/>
      <protection locked="0"/>
    </xf>
    <xf numFmtId="49" fontId="27" fillId="2" borderId="114" xfId="0" applyNumberFormat="1" applyFont="1" applyFill="1" applyBorder="1" applyAlignment="1" applyProtection="1">
      <alignment vertical="center" wrapText="1"/>
      <protection locked="0"/>
    </xf>
    <xf numFmtId="177" fontId="28" fillId="0" borderId="114" xfId="10" applyNumberFormat="1" applyFont="1" applyFill="1" applyBorder="1" applyAlignment="1" applyProtection="1">
      <alignment horizontal="center" vertical="center" wrapText="1"/>
      <protection locked="0"/>
    </xf>
    <xf numFmtId="0" fontId="23" fillId="9" borderId="13" xfId="0" applyFont="1" applyFill="1" applyBorder="1" applyAlignment="1" applyProtection="1">
      <alignment horizontal="left" vertical="center"/>
    </xf>
    <xf numFmtId="0" fontId="23" fillId="9" borderId="16" xfId="0" applyFont="1" applyFill="1" applyBorder="1" applyAlignment="1" applyProtection="1">
      <alignment horizontal="left" vertical="center"/>
    </xf>
    <xf numFmtId="0" fontId="23" fillId="9" borderId="6" xfId="0" applyFont="1" applyFill="1" applyBorder="1" applyAlignment="1" applyProtection="1">
      <alignment horizontal="left" vertical="center"/>
    </xf>
    <xf numFmtId="0" fontId="61" fillId="8" borderId="0" xfId="0" applyFont="1" applyFill="1" applyAlignment="1" applyProtection="1">
      <alignment horizontal="left" vertical="center" wrapText="1"/>
    </xf>
    <xf numFmtId="0" fontId="71" fillId="8" borderId="35" xfId="0" applyFont="1" applyFill="1" applyBorder="1" applyAlignment="1" applyProtection="1">
      <alignment horizontal="center" vertical="center"/>
    </xf>
    <xf numFmtId="0" fontId="28" fillId="6" borderId="18" xfId="0" quotePrefix="1" applyFont="1" applyFill="1" applyBorder="1" applyAlignment="1" applyProtection="1">
      <alignment horizontal="left" vertical="center" wrapText="1"/>
    </xf>
    <xf numFmtId="0" fontId="28" fillId="6" borderId="20" xfId="0" applyFont="1" applyFill="1" applyBorder="1" applyAlignment="1" applyProtection="1">
      <alignment horizontal="left" vertical="center" wrapText="1"/>
    </xf>
    <xf numFmtId="0" fontId="28" fillId="6" borderId="19" xfId="0" applyFont="1" applyFill="1" applyBorder="1" applyAlignment="1" applyProtection="1">
      <alignment horizontal="left" vertical="center" wrapText="1"/>
    </xf>
    <xf numFmtId="0" fontId="28" fillId="6" borderId="54" xfId="0" applyFont="1" applyFill="1" applyBorder="1" applyAlignment="1" applyProtection="1">
      <alignment horizontal="left" vertical="center" wrapText="1"/>
    </xf>
    <xf numFmtId="0" fontId="28" fillId="6" borderId="35" xfId="0" applyFont="1" applyFill="1" applyBorder="1" applyAlignment="1" applyProtection="1">
      <alignment horizontal="left" vertical="center" wrapText="1"/>
    </xf>
    <xf numFmtId="0" fontId="28" fillId="6" borderId="83" xfId="0" applyFont="1" applyFill="1" applyBorder="1" applyAlignment="1" applyProtection="1">
      <alignment horizontal="left" vertical="center" wrapText="1"/>
    </xf>
    <xf numFmtId="0" fontId="29" fillId="6" borderId="13" xfId="0" applyFont="1" applyFill="1" applyBorder="1" applyAlignment="1" applyProtection="1">
      <alignment horizontal="left"/>
    </xf>
    <xf numFmtId="0" fontId="29" fillId="6" borderId="16" xfId="0" applyFont="1" applyFill="1" applyBorder="1" applyAlignment="1" applyProtection="1">
      <alignment horizontal="left"/>
    </xf>
    <xf numFmtId="0" fontId="29" fillId="6" borderId="6" xfId="0" applyFont="1" applyFill="1" applyBorder="1" applyAlignment="1" applyProtection="1">
      <alignment horizontal="left"/>
    </xf>
    <xf numFmtId="0" fontId="28" fillId="0" borderId="11" xfId="0" applyFont="1" applyFill="1" applyBorder="1" applyAlignment="1" applyProtection="1">
      <alignment horizontal="center" vertical="center" wrapText="1"/>
    </xf>
    <xf numFmtId="0" fontId="28" fillId="0" borderId="0" xfId="0" applyFont="1" applyFill="1" applyBorder="1" applyAlignment="1" applyProtection="1">
      <alignment horizontal="center" vertical="center" wrapText="1"/>
    </xf>
    <xf numFmtId="0" fontId="28" fillId="0" borderId="114" xfId="0" applyFont="1" applyFill="1" applyBorder="1" applyAlignment="1" applyProtection="1">
      <alignment horizontal="center" vertical="center" wrapText="1"/>
    </xf>
    <xf numFmtId="0" fontId="68" fillId="6" borderId="55" xfId="0" applyFont="1" applyFill="1" applyBorder="1" applyAlignment="1" applyProtection="1">
      <alignment horizontal="center" vertical="center"/>
    </xf>
    <xf numFmtId="0" fontId="68" fillId="6" borderId="58" xfId="0" applyFont="1" applyFill="1" applyBorder="1" applyAlignment="1" applyProtection="1">
      <alignment horizontal="center" vertical="center"/>
    </xf>
    <xf numFmtId="0" fontId="68" fillId="6" borderId="66" xfId="0" applyFont="1" applyFill="1" applyBorder="1" applyAlignment="1" applyProtection="1">
      <alignment horizontal="center" vertical="center"/>
    </xf>
    <xf numFmtId="0" fontId="29" fillId="6" borderId="100" xfId="0" applyFont="1" applyFill="1" applyBorder="1" applyAlignment="1" applyProtection="1">
      <alignment horizontal="center" vertical="center" wrapText="1"/>
    </xf>
    <xf numFmtId="0" fontId="29" fillId="6" borderId="114" xfId="0" applyFont="1" applyFill="1" applyBorder="1" applyAlignment="1" applyProtection="1">
      <alignment horizontal="center" vertical="center" wrapText="1"/>
    </xf>
    <xf numFmtId="0" fontId="68" fillId="3" borderId="58" xfId="0" applyFont="1" applyFill="1" applyBorder="1" applyAlignment="1" applyProtection="1">
      <alignment horizontal="center" vertical="center"/>
    </xf>
    <xf numFmtId="0" fontId="29" fillId="16" borderId="100" xfId="0" applyFont="1" applyFill="1" applyBorder="1" applyAlignment="1" applyProtection="1">
      <alignment horizontal="center" vertical="center" wrapText="1"/>
    </xf>
    <xf numFmtId="0" fontId="29" fillId="16" borderId="114" xfId="0" applyFont="1" applyFill="1" applyBorder="1" applyAlignment="1" applyProtection="1">
      <alignment horizontal="center" vertical="center" wrapText="1"/>
    </xf>
    <xf numFmtId="0" fontId="29" fillId="4" borderId="100" xfId="0" applyFont="1" applyFill="1" applyBorder="1" applyAlignment="1" applyProtection="1">
      <alignment horizontal="center" vertical="center" wrapText="1"/>
    </xf>
    <xf numFmtId="0" fontId="29" fillId="4" borderId="114" xfId="0" applyFont="1" applyFill="1" applyBorder="1" applyAlignment="1" applyProtection="1">
      <alignment horizontal="center" vertical="center" wrapText="1"/>
    </xf>
    <xf numFmtId="0" fontId="29" fillId="16" borderId="110" xfId="0" applyFont="1" applyFill="1" applyBorder="1" applyAlignment="1" applyProtection="1">
      <alignment horizontal="center" vertical="center" wrapText="1"/>
    </xf>
    <xf numFmtId="0" fontId="29" fillId="16" borderId="111" xfId="0" applyFont="1" applyFill="1" applyBorder="1" applyAlignment="1" applyProtection="1">
      <alignment horizontal="center" vertical="center" wrapText="1"/>
    </xf>
    <xf numFmtId="0" fontId="29" fillId="16" borderId="112" xfId="0" applyFont="1" applyFill="1" applyBorder="1" applyAlignment="1" applyProtection="1">
      <alignment horizontal="center" vertical="center" wrapText="1"/>
    </xf>
    <xf numFmtId="0" fontId="66" fillId="0" borderId="0" xfId="0" applyFont="1" applyAlignment="1" applyProtection="1">
      <alignment horizontal="left" vertical="center" wrapText="1"/>
    </xf>
    <xf numFmtId="0" fontId="68" fillId="3" borderId="55" xfId="0" applyFont="1" applyFill="1" applyBorder="1" applyAlignment="1" applyProtection="1">
      <alignment horizontal="left" vertical="center"/>
    </xf>
    <xf numFmtId="0" fontId="68" fillId="3" borderId="58" xfId="0" applyFont="1" applyFill="1" applyBorder="1" applyAlignment="1" applyProtection="1">
      <alignment horizontal="left" vertical="center"/>
    </xf>
    <xf numFmtId="0" fontId="63" fillId="0" borderId="0" xfId="0" applyFont="1" applyBorder="1" applyAlignment="1" applyProtection="1">
      <alignment horizontal="left" vertical="center" wrapText="1"/>
    </xf>
    <xf numFmtId="0" fontId="29" fillId="4" borderId="99" xfId="0" applyFont="1" applyFill="1" applyBorder="1" applyAlignment="1" applyProtection="1">
      <alignment horizontal="center" vertical="center" wrapText="1"/>
    </xf>
    <xf numFmtId="0" fontId="28" fillId="0" borderId="114" xfId="0" applyFont="1" applyBorder="1" applyAlignment="1" applyProtection="1">
      <alignment vertical="center" wrapText="1"/>
    </xf>
    <xf numFmtId="0" fontId="33" fillId="8" borderId="0" xfId="0" applyFont="1" applyFill="1" applyBorder="1" applyAlignment="1" applyProtection="1">
      <alignment horizontal="left" vertical="center"/>
    </xf>
    <xf numFmtId="0" fontId="29" fillId="4" borderId="110" xfId="0" applyFont="1" applyFill="1" applyBorder="1" applyAlignment="1" applyProtection="1">
      <alignment horizontal="center" vertical="center" wrapText="1"/>
    </xf>
    <xf numFmtId="0" fontId="29" fillId="4" borderId="111" xfId="0" applyFont="1" applyFill="1" applyBorder="1" applyAlignment="1" applyProtection="1">
      <alignment horizontal="center" vertical="center" wrapText="1"/>
    </xf>
    <xf numFmtId="0" fontId="29" fillId="4" borderId="112" xfId="0" applyFont="1" applyFill="1" applyBorder="1" applyAlignment="1" applyProtection="1">
      <alignment horizontal="center" vertical="center" wrapText="1"/>
    </xf>
    <xf numFmtId="0" fontId="29" fillId="16" borderId="0" xfId="0" applyFont="1" applyFill="1" applyBorder="1" applyAlignment="1" applyProtection="1">
      <alignment horizontal="center" vertical="center"/>
    </xf>
    <xf numFmtId="0" fontId="74" fillId="15" borderId="114" xfId="8" applyFont="1" applyBorder="1" applyAlignment="1" applyProtection="1">
      <alignment horizontal="center" vertical="center" wrapText="1"/>
    </xf>
    <xf numFmtId="0" fontId="29" fillId="16" borderId="107" xfId="0" applyFont="1" applyFill="1" applyBorder="1" applyAlignment="1" applyProtection="1">
      <alignment horizontal="center" vertical="center"/>
    </xf>
    <xf numFmtId="0" fontId="29" fillId="16" borderId="100" xfId="0" applyFont="1" applyFill="1" applyBorder="1" applyAlignment="1" applyProtection="1">
      <alignment horizontal="center" vertical="center"/>
    </xf>
    <xf numFmtId="0" fontId="29" fillId="17" borderId="99" xfId="0" applyFont="1" applyFill="1" applyBorder="1" applyAlignment="1" applyProtection="1">
      <alignment horizontal="center" vertical="center"/>
    </xf>
    <xf numFmtId="0" fontId="43" fillId="9" borderId="55" xfId="0" applyFont="1" applyFill="1" applyBorder="1" applyAlignment="1" applyProtection="1">
      <alignment horizontal="center" vertical="center"/>
    </xf>
    <xf numFmtId="0" fontId="43" fillId="9" borderId="58" xfId="0" applyFont="1" applyFill="1" applyBorder="1" applyAlignment="1" applyProtection="1">
      <alignment horizontal="center" vertical="center"/>
    </xf>
    <xf numFmtId="0" fontId="43" fillId="9" borderId="66" xfId="0" applyFont="1" applyFill="1" applyBorder="1" applyAlignment="1" applyProtection="1">
      <alignment horizontal="center" vertical="center"/>
    </xf>
    <xf numFmtId="0" fontId="29" fillId="16" borderId="110" xfId="0" applyFont="1" applyFill="1" applyBorder="1" applyAlignment="1" applyProtection="1">
      <alignment horizontal="center" vertical="center"/>
    </xf>
    <xf numFmtId="0" fontId="29" fillId="16" borderId="112" xfId="0" applyFont="1" applyFill="1" applyBorder="1" applyAlignment="1" applyProtection="1">
      <alignment horizontal="center" vertical="center"/>
    </xf>
    <xf numFmtId="0" fontId="29" fillId="4" borderId="111" xfId="0" applyFont="1" applyFill="1" applyBorder="1" applyAlignment="1" applyProtection="1">
      <alignment horizontal="center" vertical="center"/>
    </xf>
    <xf numFmtId="0" fontId="29" fillId="4" borderId="112" xfId="0" applyFont="1" applyFill="1" applyBorder="1" applyAlignment="1" applyProtection="1">
      <alignment horizontal="center" vertical="center"/>
    </xf>
    <xf numFmtId="0" fontId="43" fillId="9" borderId="74" xfId="0" applyFont="1" applyFill="1" applyBorder="1" applyAlignment="1" applyProtection="1">
      <alignment horizontal="left" vertical="center" wrapText="1"/>
    </xf>
    <xf numFmtId="0" fontId="53" fillId="0" borderId="65" xfId="0" applyFont="1" applyBorder="1" applyAlignment="1" applyProtection="1">
      <alignment horizontal="left" vertical="center" wrapText="1"/>
    </xf>
    <xf numFmtId="0" fontId="53" fillId="0" borderId="75" xfId="0" applyFont="1" applyBorder="1" applyAlignment="1" applyProtection="1">
      <alignment horizontal="left" vertical="center" wrapText="1"/>
    </xf>
    <xf numFmtId="0" fontId="29" fillId="4" borderId="108" xfId="0" applyFont="1" applyFill="1" applyBorder="1" applyAlignment="1" applyProtection="1">
      <alignment horizontal="center" vertical="center" wrapText="1"/>
    </xf>
    <xf numFmtId="0" fontId="29" fillId="4" borderId="101" xfId="0" applyFont="1" applyFill="1" applyBorder="1" applyAlignment="1" applyProtection="1">
      <alignment horizontal="center" vertical="center" wrapText="1"/>
    </xf>
    <xf numFmtId="0" fontId="29" fillId="4" borderId="107" xfId="0" applyFont="1" applyFill="1" applyBorder="1" applyAlignment="1" applyProtection="1">
      <alignment horizontal="center" vertical="center" wrapText="1"/>
    </xf>
    <xf numFmtId="0" fontId="29" fillId="4" borderId="110" xfId="0" applyFont="1" applyFill="1" applyBorder="1" applyAlignment="1" applyProtection="1">
      <alignment horizontal="center" vertical="center"/>
    </xf>
    <xf numFmtId="0" fontId="29" fillId="4" borderId="107" xfId="0" applyFont="1" applyFill="1" applyBorder="1" applyAlignment="1" applyProtection="1">
      <alignment horizontal="center" vertical="center"/>
    </xf>
    <xf numFmtId="0" fontId="29" fillId="4" borderId="100" xfId="0" applyFont="1" applyFill="1" applyBorder="1" applyAlignment="1" applyProtection="1">
      <alignment horizontal="center" vertical="center"/>
    </xf>
    <xf numFmtId="0" fontId="29" fillId="16" borderId="0" xfId="0" applyFont="1" applyFill="1" applyBorder="1" applyAlignment="1" applyProtection="1">
      <alignment horizontal="center" vertical="center" wrapText="1"/>
    </xf>
    <xf numFmtId="0" fontId="28" fillId="0" borderId="114" xfId="0" applyFont="1" applyFill="1" applyBorder="1" applyAlignment="1" applyProtection="1">
      <alignment horizontal="left" vertical="center"/>
      <protection locked="0"/>
    </xf>
    <xf numFmtId="0" fontId="28" fillId="0" borderId="114" xfId="0" applyFont="1" applyBorder="1" applyAlignment="1" applyProtection="1">
      <alignment horizontal="center" vertical="center" wrapText="1"/>
    </xf>
    <xf numFmtId="0" fontId="28" fillId="0" borderId="100" xfId="0" applyFont="1" applyBorder="1" applyAlignment="1" applyProtection="1">
      <alignment horizontal="center" vertical="center" wrapText="1"/>
    </xf>
    <xf numFmtId="0" fontId="17" fillId="0" borderId="100" xfId="0" applyFont="1" applyBorder="1" applyAlignment="1" applyProtection="1">
      <alignment horizontal="center" vertical="center" wrapText="1"/>
    </xf>
    <xf numFmtId="0" fontId="29" fillId="17" borderId="100" xfId="0" applyFont="1" applyFill="1" applyBorder="1" applyAlignment="1" applyProtection="1">
      <alignment horizontal="center" vertical="center" wrapText="1"/>
    </xf>
    <xf numFmtId="0" fontId="29" fillId="17" borderId="114" xfId="0" applyFont="1" applyFill="1" applyBorder="1" applyAlignment="1" applyProtection="1">
      <alignment horizontal="center" vertical="center" wrapText="1"/>
    </xf>
    <xf numFmtId="0" fontId="29" fillId="16" borderId="107" xfId="0" applyFont="1" applyFill="1" applyBorder="1" applyAlignment="1" applyProtection="1">
      <alignment horizontal="center" vertical="center" wrapText="1"/>
    </xf>
    <xf numFmtId="0" fontId="68" fillId="3" borderId="104" xfId="0" applyFont="1" applyFill="1" applyBorder="1" applyAlignment="1" applyProtection="1">
      <alignment horizontal="center" vertical="center"/>
    </xf>
    <xf numFmtId="0" fontId="68" fillId="3" borderId="105" xfId="0" applyFont="1" applyFill="1" applyBorder="1" applyAlignment="1" applyProtection="1">
      <alignment horizontal="center" vertical="center"/>
    </xf>
    <xf numFmtId="0" fontId="63" fillId="0" borderId="0" xfId="0" applyFont="1" applyAlignment="1" applyProtection="1">
      <alignment horizontal="left" vertical="center" wrapText="1"/>
    </xf>
    <xf numFmtId="0" fontId="29" fillId="4" borderId="101" xfId="0" applyFont="1" applyFill="1" applyBorder="1" applyAlignment="1" applyProtection="1">
      <alignment horizontal="center" vertical="center"/>
    </xf>
    <xf numFmtId="0" fontId="28" fillId="0" borderId="114" xfId="0" applyFont="1" applyBorder="1" applyAlignment="1" applyProtection="1">
      <alignment horizontal="center" vertical="center"/>
    </xf>
    <xf numFmtId="0" fontId="68" fillId="3" borderId="103" xfId="0" applyFont="1" applyFill="1" applyBorder="1" applyAlignment="1" applyProtection="1">
      <alignment horizontal="left" vertical="center"/>
    </xf>
    <xf numFmtId="0" fontId="68" fillId="3" borderId="104" xfId="0" applyFont="1" applyFill="1" applyBorder="1" applyAlignment="1" applyProtection="1">
      <alignment horizontal="left" vertical="center"/>
    </xf>
    <xf numFmtId="0" fontId="29" fillId="4" borderId="114" xfId="0" applyFont="1" applyFill="1" applyBorder="1" applyAlignment="1" applyProtection="1">
      <alignment horizontal="center" vertical="center"/>
    </xf>
    <xf numFmtId="0" fontId="28" fillId="16" borderId="0" xfId="0" applyFont="1" applyFill="1" applyBorder="1" applyAlignment="1" applyProtection="1">
      <alignment horizontal="center" vertical="center"/>
    </xf>
    <xf numFmtId="0" fontId="63" fillId="0" borderId="0" xfId="0" applyFont="1" applyAlignment="1" applyProtection="1">
      <alignment horizontal="left" vertical="center"/>
    </xf>
    <xf numFmtId="0" fontId="43" fillId="9" borderId="77" xfId="0" applyFont="1" applyFill="1" applyBorder="1" applyAlignment="1" applyProtection="1">
      <alignment horizontal="center" vertical="center"/>
    </xf>
    <xf numFmtId="0" fontId="43" fillId="9" borderId="58" xfId="0" applyFont="1" applyFill="1" applyBorder="1" applyAlignment="1" applyProtection="1">
      <alignment horizontal="center" vertical="center" wrapText="1"/>
    </xf>
    <xf numFmtId="0" fontId="43" fillId="9" borderId="55" xfId="0" applyFont="1" applyFill="1" applyBorder="1" applyAlignment="1" applyProtection="1">
      <alignment horizontal="left" vertical="center" wrapText="1"/>
    </xf>
    <xf numFmtId="0" fontId="43" fillId="9" borderId="58" xfId="0" applyFont="1" applyFill="1" applyBorder="1" applyAlignment="1" applyProtection="1">
      <alignment horizontal="left" vertical="center" wrapText="1"/>
    </xf>
    <xf numFmtId="0" fontId="43" fillId="9" borderId="66" xfId="0" applyFont="1" applyFill="1" applyBorder="1" applyAlignment="1" applyProtection="1">
      <alignment horizontal="left" vertical="center" wrapText="1"/>
    </xf>
    <xf numFmtId="0" fontId="29" fillId="17" borderId="100" xfId="0" applyFont="1" applyFill="1" applyBorder="1" applyAlignment="1" applyProtection="1">
      <alignment horizontal="center" vertical="center"/>
    </xf>
    <xf numFmtId="0" fontId="29" fillId="17" borderId="114" xfId="0" applyFont="1" applyFill="1" applyBorder="1" applyAlignment="1" applyProtection="1">
      <alignment horizontal="center" vertical="center"/>
    </xf>
    <xf numFmtId="0" fontId="28" fillId="16" borderId="114" xfId="0" applyFont="1" applyFill="1" applyBorder="1" applyAlignment="1" applyProtection="1">
      <alignment horizontal="center" vertical="center"/>
    </xf>
    <xf numFmtId="0" fontId="28" fillId="0" borderId="100" xfId="0" applyFont="1" applyBorder="1" applyAlignment="1" applyProtection="1">
      <alignment horizontal="center" vertical="center"/>
    </xf>
    <xf numFmtId="0" fontId="68" fillId="3" borderId="66" xfId="0" applyFont="1" applyFill="1" applyBorder="1" applyAlignment="1" applyProtection="1">
      <alignment horizontal="center" vertical="center"/>
    </xf>
    <xf numFmtId="0" fontId="68" fillId="3" borderId="66" xfId="0" applyFont="1" applyFill="1" applyBorder="1" applyAlignment="1" applyProtection="1">
      <alignment horizontal="left" vertical="center"/>
    </xf>
    <xf numFmtId="0" fontId="29" fillId="0" borderId="64" xfId="0" applyFont="1" applyFill="1" applyBorder="1" applyAlignment="1" applyProtection="1">
      <alignment horizontal="left" vertical="center" wrapText="1"/>
    </xf>
    <xf numFmtId="0" fontId="29" fillId="0" borderId="8" xfId="0" applyFont="1" applyFill="1" applyBorder="1" applyAlignment="1" applyProtection="1">
      <alignment horizontal="left" vertical="center" wrapText="1"/>
    </xf>
    <xf numFmtId="0" fontId="29" fillId="0" borderId="48" xfId="0" applyFont="1" applyFill="1" applyBorder="1" applyAlignment="1" applyProtection="1">
      <alignment horizontal="left" vertical="center" wrapText="1"/>
    </xf>
    <xf numFmtId="0" fontId="29" fillId="8" borderId="55" xfId="0" applyFont="1" applyFill="1" applyBorder="1" applyAlignment="1" applyProtection="1">
      <alignment horizontal="left" vertical="center" wrapText="1"/>
    </xf>
    <xf numFmtId="0" fontId="29" fillId="8" borderId="58" xfId="0" applyFont="1" applyFill="1" applyBorder="1" applyAlignment="1" applyProtection="1">
      <alignment horizontal="left" vertical="center" wrapText="1"/>
    </xf>
    <xf numFmtId="0" fontId="29" fillId="8" borderId="66" xfId="0" applyFont="1" applyFill="1" applyBorder="1" applyAlignment="1" applyProtection="1">
      <alignment horizontal="left" vertical="center" wrapText="1"/>
    </xf>
    <xf numFmtId="0" fontId="29" fillId="8" borderId="88" xfId="0" applyFont="1" applyFill="1" applyBorder="1" applyAlignment="1" applyProtection="1">
      <alignment horizontal="center" vertical="center" wrapText="1"/>
    </xf>
    <xf numFmtId="0" fontId="29" fillId="8" borderId="41" xfId="0" applyFont="1" applyFill="1" applyBorder="1" applyAlignment="1" applyProtection="1">
      <alignment horizontal="center" vertical="center" wrapText="1"/>
    </xf>
    <xf numFmtId="0" fontId="29" fillId="4" borderId="14" xfId="0" applyFont="1" applyFill="1" applyBorder="1" applyAlignment="1" applyProtection="1">
      <alignment horizontal="center" vertical="center" wrapText="1"/>
    </xf>
    <xf numFmtId="0" fontId="29" fillId="4" borderId="33" xfId="0" applyFont="1" applyFill="1" applyBorder="1" applyAlignment="1" applyProtection="1">
      <alignment horizontal="center" vertical="center" wrapText="1"/>
    </xf>
    <xf numFmtId="0" fontId="29" fillId="4" borderId="44" xfId="0" applyFont="1" applyFill="1" applyBorder="1" applyAlignment="1" applyProtection="1">
      <alignment horizontal="center" vertical="center" wrapText="1"/>
    </xf>
    <xf numFmtId="0" fontId="33" fillId="8" borderId="55" xfId="0" applyFont="1" applyFill="1" applyBorder="1" applyAlignment="1" applyProtection="1">
      <alignment horizontal="left" vertical="center" wrapText="1"/>
    </xf>
    <xf numFmtId="0" fontId="33" fillId="8" borderId="58" xfId="0" applyFont="1" applyFill="1" applyBorder="1" applyAlignment="1" applyProtection="1">
      <alignment horizontal="left" vertical="center" wrapText="1"/>
    </xf>
    <xf numFmtId="0" fontId="33" fillId="8" borderId="66" xfId="0" applyFont="1" applyFill="1" applyBorder="1" applyAlignment="1" applyProtection="1">
      <alignment horizontal="left" vertical="center" wrapText="1"/>
    </xf>
    <xf numFmtId="0" fontId="29" fillId="16" borderId="64" xfId="0" applyFont="1" applyFill="1" applyBorder="1" applyAlignment="1" applyProtection="1">
      <alignment horizontal="center" vertical="center" wrapText="1"/>
    </xf>
    <xf numFmtId="0" fontId="29" fillId="16" borderId="8" xfId="0" applyFont="1" applyFill="1" applyBorder="1" applyAlignment="1" applyProtection="1">
      <alignment horizontal="center" vertical="center" wrapText="1"/>
    </xf>
    <xf numFmtId="0" fontId="29" fillId="16" borderId="48" xfId="0" applyFont="1" applyFill="1" applyBorder="1" applyAlignment="1" applyProtection="1">
      <alignment horizontal="center" vertical="center" wrapText="1"/>
    </xf>
    <xf numFmtId="0" fontId="29" fillId="17" borderId="84" xfId="0" applyFont="1" applyFill="1" applyBorder="1" applyAlignment="1" applyProtection="1">
      <alignment horizontal="center" vertical="center" wrapText="1"/>
    </xf>
    <xf numFmtId="0" fontId="29" fillId="17" borderId="63" xfId="0" applyFont="1" applyFill="1" applyBorder="1" applyAlignment="1" applyProtection="1">
      <alignment horizontal="center" vertical="center" wrapText="1"/>
    </xf>
    <xf numFmtId="0" fontId="29" fillId="17" borderId="15" xfId="0" applyFont="1" applyFill="1" applyBorder="1" applyAlignment="1" applyProtection="1">
      <alignment horizontal="center" vertical="center" wrapText="1"/>
    </xf>
    <xf numFmtId="0" fontId="33" fillId="9" borderId="40" xfId="0" applyFont="1" applyFill="1" applyBorder="1" applyAlignment="1" applyProtection="1">
      <alignment horizontal="center" vertical="center" wrapText="1"/>
    </xf>
    <xf numFmtId="0" fontId="33" fillId="9" borderId="33" xfId="0" applyFont="1" applyFill="1" applyBorder="1" applyAlignment="1" applyProtection="1">
      <alignment horizontal="center" vertical="center" wrapText="1"/>
    </xf>
    <xf numFmtId="0" fontId="33" fillId="9" borderId="7" xfId="0" applyFont="1" applyFill="1" applyBorder="1" applyAlignment="1" applyProtection="1">
      <alignment horizontal="center" vertical="center" wrapText="1"/>
    </xf>
    <xf numFmtId="0" fontId="33" fillId="9" borderId="10" xfId="0" applyFont="1" applyFill="1" applyBorder="1" applyAlignment="1" applyProtection="1">
      <alignment horizontal="center" vertical="center" wrapText="1"/>
    </xf>
    <xf numFmtId="0" fontId="29" fillId="9" borderId="47" xfId="0" applyFont="1" applyFill="1" applyBorder="1" applyAlignment="1" applyProtection="1">
      <alignment horizontal="left" vertical="center" wrapText="1"/>
    </xf>
    <xf numFmtId="0" fontId="29" fillId="9" borderId="8" xfId="0" applyFont="1" applyFill="1" applyBorder="1" applyAlignment="1" applyProtection="1">
      <alignment horizontal="left" vertical="center" wrapText="1"/>
    </xf>
    <xf numFmtId="0" fontId="29" fillId="9" borderId="79" xfId="0" applyFont="1" applyFill="1" applyBorder="1" applyAlignment="1" applyProtection="1">
      <alignment horizontal="left" vertical="center" wrapText="1"/>
    </xf>
    <xf numFmtId="0" fontId="29" fillId="9" borderId="10" xfId="0" applyFont="1" applyFill="1" applyBorder="1" applyAlignment="1" applyProtection="1">
      <alignment horizontal="left" vertical="center" wrapText="1"/>
    </xf>
    <xf numFmtId="0" fontId="29" fillId="17" borderId="49" xfId="0" applyFont="1" applyFill="1" applyBorder="1" applyAlignment="1" applyProtection="1">
      <alignment horizontal="center" vertical="center" wrapText="1"/>
    </xf>
    <xf numFmtId="0" fontId="29" fillId="17" borderId="3" xfId="0" applyFont="1" applyFill="1" applyBorder="1" applyAlignment="1" applyProtection="1">
      <alignment horizontal="center" vertical="center" wrapText="1"/>
    </xf>
    <xf numFmtId="0" fontId="29" fillId="17" borderId="12" xfId="0" applyFont="1" applyFill="1" applyBorder="1" applyAlignment="1" applyProtection="1">
      <alignment horizontal="center" vertical="center" wrapText="1"/>
    </xf>
    <xf numFmtId="0" fontId="29" fillId="8" borderId="55" xfId="0" quotePrefix="1" applyFont="1" applyFill="1" applyBorder="1" applyAlignment="1" applyProtection="1">
      <alignment horizontal="left" vertical="center" wrapText="1"/>
    </xf>
    <xf numFmtId="0" fontId="29" fillId="8" borderId="40" xfId="0" applyFont="1" applyFill="1" applyBorder="1" applyAlignment="1" applyProtection="1">
      <alignment horizontal="left" vertical="center" wrapText="1"/>
    </xf>
    <xf numFmtId="0" fontId="29" fillId="16" borderId="40" xfId="0" applyFont="1" applyFill="1" applyBorder="1" applyAlignment="1" applyProtection="1">
      <alignment horizontal="center" vertical="center" wrapText="1"/>
    </xf>
    <xf numFmtId="0" fontId="29" fillId="16" borderId="33" xfId="0" applyFont="1" applyFill="1" applyBorder="1" applyAlignment="1" applyProtection="1">
      <alignment horizontal="center" vertical="center" wrapText="1"/>
    </xf>
    <xf numFmtId="0" fontId="29" fillId="16" borderId="44" xfId="0" applyFont="1" applyFill="1" applyBorder="1" applyAlignment="1" applyProtection="1">
      <alignment horizontal="center" vertical="center" wrapText="1"/>
    </xf>
    <xf numFmtId="0" fontId="43" fillId="7" borderId="55" xfId="0" applyFont="1" applyFill="1" applyBorder="1" applyAlignment="1" applyProtection="1">
      <alignment horizontal="left" vertical="center" wrapText="1"/>
    </xf>
    <xf numFmtId="0" fontId="43" fillId="7" borderId="58" xfId="0" applyFont="1" applyFill="1" applyBorder="1" applyAlignment="1" applyProtection="1">
      <alignment horizontal="left" vertical="center" wrapText="1"/>
    </xf>
    <xf numFmtId="164" fontId="43" fillId="7" borderId="58" xfId="1" applyFont="1" applyFill="1" applyBorder="1" applyAlignment="1" applyProtection="1">
      <alignment horizontal="left" vertical="center" wrapText="1"/>
    </xf>
    <xf numFmtId="0" fontId="29" fillId="4" borderId="130" xfId="0" applyFont="1" applyFill="1" applyBorder="1" applyAlignment="1" applyProtection="1">
      <alignment horizontal="center" vertical="center" wrapText="1"/>
    </xf>
    <xf numFmtId="164" fontId="29" fillId="4" borderId="130" xfId="1" applyFont="1" applyFill="1" applyBorder="1" applyAlignment="1" applyProtection="1">
      <alignment horizontal="center" vertical="center" wrapText="1"/>
    </xf>
    <xf numFmtId="0" fontId="29" fillId="16" borderId="130" xfId="0" applyFont="1" applyFill="1" applyBorder="1" applyAlignment="1" applyProtection="1">
      <alignment horizontal="center" vertical="center" wrapText="1"/>
    </xf>
    <xf numFmtId="0" fontId="29" fillId="17" borderId="78" xfId="0" applyFont="1" applyFill="1" applyBorder="1" applyAlignment="1" applyProtection="1">
      <alignment horizontal="center" vertical="center" wrapText="1"/>
    </xf>
    <xf numFmtId="0" fontId="29" fillId="17" borderId="65" xfId="0" applyFont="1" applyFill="1" applyBorder="1" applyAlignment="1" applyProtection="1">
      <alignment horizontal="center" vertical="center" wrapText="1"/>
    </xf>
    <xf numFmtId="0" fontId="29" fillId="17" borderId="77" xfId="0" applyFont="1" applyFill="1" applyBorder="1" applyAlignment="1" applyProtection="1">
      <alignment horizontal="center" vertical="center" wrapText="1"/>
    </xf>
    <xf numFmtId="0" fontId="29" fillId="9" borderId="68" xfId="0" applyFont="1" applyFill="1" applyBorder="1" applyAlignment="1" applyProtection="1">
      <alignment horizontal="left" vertical="center" wrapText="1"/>
    </xf>
    <xf numFmtId="0" fontId="29" fillId="9" borderId="45" xfId="0" applyFont="1" applyFill="1" applyBorder="1" applyAlignment="1" applyProtection="1">
      <alignment horizontal="left" vertical="center" wrapText="1"/>
    </xf>
    <xf numFmtId="0" fontId="29" fillId="24" borderId="3" xfId="0" applyFont="1" applyFill="1" applyBorder="1" applyAlignment="1" applyProtection="1">
      <alignment horizontal="left" vertical="center" wrapText="1"/>
    </xf>
    <xf numFmtId="0" fontId="29" fillId="24" borderId="42" xfId="0" applyFont="1" applyFill="1" applyBorder="1" applyAlignment="1" applyProtection="1">
      <alignment horizontal="left" vertical="center" wrapText="1"/>
    </xf>
    <xf numFmtId="0" fontId="63" fillId="24" borderId="40" xfId="0" applyFont="1" applyFill="1" applyBorder="1" applyAlignment="1" applyProtection="1">
      <alignment horizontal="center" vertical="center" wrapText="1"/>
    </xf>
    <xf numFmtId="0" fontId="63" fillId="24" borderId="33" xfId="0" applyFont="1" applyFill="1" applyBorder="1" applyAlignment="1" applyProtection="1">
      <alignment horizontal="center" vertical="center" wrapText="1"/>
    </xf>
    <xf numFmtId="0" fontId="63" fillId="24" borderId="131" xfId="0" applyFont="1" applyFill="1" applyBorder="1" applyAlignment="1" applyProtection="1">
      <alignment horizontal="center" vertical="center" wrapText="1"/>
    </xf>
    <xf numFmtId="0" fontId="63" fillId="24" borderId="7" xfId="0" applyFont="1" applyFill="1" applyBorder="1" applyAlignment="1" applyProtection="1">
      <alignment horizontal="center" vertical="center" wrapText="1"/>
    </xf>
    <xf numFmtId="0" fontId="63" fillId="24" borderId="10" xfId="0" applyFont="1" applyFill="1" applyBorder="1" applyAlignment="1" applyProtection="1">
      <alignment horizontal="center" vertical="center" wrapText="1"/>
    </xf>
    <xf numFmtId="0" fontId="63" fillId="24" borderId="2" xfId="0" applyFont="1" applyFill="1" applyBorder="1" applyAlignment="1" applyProtection="1">
      <alignment horizontal="center" vertical="center" wrapText="1"/>
    </xf>
    <xf numFmtId="0" fontId="29" fillId="0" borderId="50" xfId="0" applyFont="1" applyFill="1" applyBorder="1" applyAlignment="1" applyProtection="1">
      <alignment horizontal="left" vertical="center" wrapText="1"/>
    </xf>
    <xf numFmtId="0" fontId="29" fillId="0" borderId="1" xfId="0" applyFont="1" applyFill="1" applyBorder="1" applyAlignment="1" applyProtection="1">
      <alignment horizontal="left" vertical="center" wrapText="1"/>
    </xf>
    <xf numFmtId="0" fontId="28" fillId="5" borderId="13" xfId="0" applyFont="1" applyFill="1" applyBorder="1" applyAlignment="1" applyProtection="1">
      <alignment horizontal="center" vertical="center"/>
      <protection locked="0"/>
    </xf>
    <xf numFmtId="0" fontId="28" fillId="5" borderId="6" xfId="0" applyFont="1" applyFill="1" applyBorder="1" applyAlignment="1" applyProtection="1">
      <alignment horizontal="center" vertical="center"/>
      <protection locked="0"/>
    </xf>
    <xf numFmtId="0" fontId="33" fillId="7" borderId="55" xfId="0" applyFont="1" applyFill="1" applyBorder="1" applyAlignment="1" applyProtection="1">
      <alignment horizontal="left" vertical="center" wrapText="1"/>
    </xf>
    <xf numFmtId="0" fontId="33" fillId="7" borderId="58" xfId="0" applyFont="1" applyFill="1" applyBorder="1" applyAlignment="1" applyProtection="1">
      <alignment horizontal="left" vertical="center" wrapText="1"/>
    </xf>
    <xf numFmtId="0" fontId="29" fillId="4" borderId="55" xfId="0" applyFont="1" applyFill="1" applyBorder="1" applyAlignment="1" applyProtection="1">
      <alignment horizontal="center" vertical="center" wrapText="1"/>
    </xf>
    <xf numFmtId="0" fontId="29" fillId="4" borderId="58" xfId="0" applyFont="1" applyFill="1" applyBorder="1" applyAlignment="1" applyProtection="1">
      <alignment horizontal="center" vertical="center" wrapText="1"/>
    </xf>
    <xf numFmtId="0" fontId="29" fillId="4" borderId="66" xfId="0" applyFont="1" applyFill="1" applyBorder="1" applyAlignment="1" applyProtection="1">
      <alignment horizontal="center" vertical="center" wrapText="1"/>
    </xf>
    <xf numFmtId="0" fontId="29" fillId="8" borderId="49" xfId="0" applyFont="1" applyFill="1" applyBorder="1" applyAlignment="1" applyProtection="1">
      <alignment horizontal="center" vertical="center" wrapText="1"/>
    </xf>
    <xf numFmtId="0" fontId="29" fillId="8" borderId="47" xfId="0" applyFont="1" applyFill="1" applyBorder="1" applyAlignment="1" applyProtection="1">
      <alignment horizontal="center" vertical="center" wrapText="1"/>
    </xf>
    <xf numFmtId="0" fontId="29" fillId="12" borderId="55" xfId="0" applyFont="1" applyFill="1" applyBorder="1" applyAlignment="1" applyProtection="1">
      <alignment horizontal="center" vertical="center" wrapText="1"/>
    </xf>
    <xf numFmtId="0" fontId="29" fillId="12" borderId="66" xfId="0" applyFont="1" applyFill="1" applyBorder="1" applyAlignment="1" applyProtection="1">
      <alignment horizontal="center" vertical="center" wrapText="1"/>
    </xf>
    <xf numFmtId="0" fontId="28" fillId="0" borderId="50" xfId="0" applyFont="1" applyFill="1" applyBorder="1" applyAlignment="1" applyProtection="1">
      <alignment horizontal="left" vertical="center" wrapText="1"/>
    </xf>
    <xf numFmtId="0" fontId="28" fillId="0" borderId="1" xfId="0" applyFont="1" applyFill="1" applyBorder="1" applyAlignment="1" applyProtection="1">
      <alignment horizontal="left" vertical="center" wrapText="1"/>
    </xf>
    <xf numFmtId="0" fontId="28" fillId="0" borderId="13" xfId="0" applyFont="1" applyFill="1" applyBorder="1" applyAlignment="1" applyProtection="1">
      <alignment horizontal="left" vertical="center" wrapText="1"/>
      <protection locked="0"/>
    </xf>
    <xf numFmtId="0" fontId="28" fillId="0" borderId="6" xfId="0" applyFont="1" applyFill="1" applyBorder="1" applyAlignment="1" applyProtection="1">
      <alignment horizontal="left" vertical="center" wrapText="1"/>
      <protection locked="0"/>
    </xf>
    <xf numFmtId="0" fontId="28" fillId="0" borderId="50" xfId="0" applyFont="1" applyFill="1" applyBorder="1" applyAlignment="1" applyProtection="1">
      <alignment horizontal="left" vertical="center"/>
    </xf>
    <xf numFmtId="0" fontId="28" fillId="0" borderId="1" xfId="0" applyFont="1" applyFill="1" applyBorder="1" applyAlignment="1" applyProtection="1">
      <alignment horizontal="left" vertical="center"/>
    </xf>
    <xf numFmtId="166" fontId="29" fillId="5" borderId="13" xfId="0" applyNumberFormat="1" applyFont="1" applyFill="1" applyBorder="1" applyAlignment="1" applyProtection="1">
      <alignment horizontal="center" vertical="center" wrapText="1"/>
      <protection locked="0"/>
    </xf>
    <xf numFmtId="166" fontId="29" fillId="5" borderId="6" xfId="0" applyNumberFormat="1" applyFont="1" applyFill="1" applyBorder="1" applyAlignment="1" applyProtection="1">
      <alignment horizontal="center" vertical="center" wrapText="1"/>
      <protection locked="0"/>
    </xf>
    <xf numFmtId="0" fontId="28" fillId="0" borderId="82" xfId="0" applyFont="1" applyFill="1" applyBorder="1" applyAlignment="1" applyProtection="1">
      <alignment horizontal="left" vertical="center" wrapText="1"/>
    </xf>
    <xf numFmtId="0" fontId="28" fillId="0" borderId="6" xfId="0" applyFont="1" applyFill="1" applyBorder="1" applyAlignment="1" applyProtection="1">
      <alignment horizontal="left" vertical="center" wrapText="1"/>
    </xf>
    <xf numFmtId="0" fontId="28" fillId="0" borderId="18" xfId="0" applyFont="1" applyFill="1" applyBorder="1" applyAlignment="1" applyProtection="1">
      <alignment horizontal="left" vertical="center" wrapText="1"/>
      <protection locked="0"/>
    </xf>
    <xf numFmtId="0" fontId="28" fillId="0" borderId="19" xfId="0" applyFont="1" applyFill="1" applyBorder="1" applyAlignment="1" applyProtection="1">
      <alignment horizontal="left" vertical="center" wrapText="1"/>
      <protection locked="0"/>
    </xf>
    <xf numFmtId="0" fontId="33" fillId="7" borderId="33" xfId="0" applyFont="1" applyFill="1" applyBorder="1" applyAlignment="1" applyProtection="1">
      <alignment horizontal="left" vertical="center" wrapText="1"/>
    </xf>
    <xf numFmtId="0" fontId="29" fillId="16" borderId="55" xfId="0" applyFont="1" applyFill="1" applyBorder="1" applyAlignment="1" applyProtection="1">
      <alignment horizontal="center" vertical="center" wrapText="1"/>
    </xf>
    <xf numFmtId="0" fontId="29" fillId="16" borderId="58" xfId="0" applyFont="1" applyFill="1" applyBorder="1" applyAlignment="1" applyProtection="1">
      <alignment horizontal="center" vertical="center" wrapText="1"/>
    </xf>
    <xf numFmtId="0" fontId="29" fillId="0" borderId="50" xfId="0" applyFont="1" applyFill="1" applyBorder="1" applyAlignment="1" applyProtection="1">
      <alignment horizontal="left" vertical="center"/>
    </xf>
    <xf numFmtId="0" fontId="29" fillId="0" borderId="1" xfId="0" applyFont="1" applyFill="1" applyBorder="1" applyAlignment="1" applyProtection="1">
      <alignment horizontal="left" vertical="center"/>
    </xf>
    <xf numFmtId="0" fontId="28" fillId="5" borderId="47" xfId="0" applyFont="1" applyFill="1" applyBorder="1" applyAlignment="1" applyProtection="1">
      <alignment horizontal="center" vertical="center"/>
      <protection locked="0"/>
    </xf>
    <xf numFmtId="0" fontId="28" fillId="5" borderId="5" xfId="0" applyFont="1" applyFill="1" applyBorder="1" applyAlignment="1" applyProtection="1">
      <alignment horizontal="center" vertical="center"/>
      <protection locked="0"/>
    </xf>
    <xf numFmtId="0" fontId="29" fillId="16" borderId="66" xfId="0" applyFont="1" applyFill="1" applyBorder="1" applyAlignment="1" applyProtection="1">
      <alignment horizontal="center" vertical="center" wrapText="1"/>
    </xf>
    <xf numFmtId="0" fontId="63" fillId="2" borderId="0" xfId="0" applyFont="1" applyFill="1" applyAlignment="1" applyProtection="1">
      <alignment horizontal="left" vertical="center" wrapText="1"/>
    </xf>
    <xf numFmtId="0" fontId="33" fillId="9" borderId="0" xfId="0" applyFont="1" applyFill="1" applyBorder="1" applyAlignment="1" applyProtection="1">
      <alignment horizontal="left" vertical="center"/>
    </xf>
    <xf numFmtId="0" fontId="29" fillId="11" borderId="55" xfId="0" applyFont="1" applyFill="1" applyBorder="1" applyAlignment="1" applyProtection="1">
      <alignment horizontal="center" vertical="center" wrapText="1"/>
    </xf>
    <xf numFmtId="0" fontId="29" fillId="11" borderId="58" xfId="0" applyFont="1" applyFill="1" applyBorder="1" applyAlignment="1" applyProtection="1">
      <alignment horizontal="center" vertical="center" wrapText="1"/>
    </xf>
    <xf numFmtId="0" fontId="29" fillId="11" borderId="66" xfId="0" applyFont="1" applyFill="1" applyBorder="1" applyAlignment="1" applyProtection="1">
      <alignment horizontal="center" vertical="center" wrapText="1"/>
    </xf>
    <xf numFmtId="0" fontId="28" fillId="0" borderId="55" xfId="0" applyFont="1" applyFill="1" applyBorder="1" applyAlignment="1" applyProtection="1">
      <alignment horizontal="left" vertical="top" wrapText="1"/>
      <protection locked="0"/>
    </xf>
    <xf numFmtId="0" fontId="28" fillId="0" borderId="58" xfId="0" applyFont="1" applyFill="1" applyBorder="1" applyAlignment="1" applyProtection="1">
      <alignment horizontal="left" vertical="top" wrapText="1"/>
      <protection locked="0"/>
    </xf>
    <xf numFmtId="0" fontId="28" fillId="0" borderId="66" xfId="0" applyFont="1" applyFill="1" applyBorder="1" applyAlignment="1" applyProtection="1">
      <alignment horizontal="left" vertical="top" wrapText="1"/>
      <protection locked="0"/>
    </xf>
    <xf numFmtId="0" fontId="29" fillId="11" borderId="55" xfId="0" applyFont="1" applyFill="1" applyBorder="1" applyAlignment="1" applyProtection="1">
      <alignment horizontal="left" vertical="center" wrapText="1"/>
    </xf>
    <xf numFmtId="0" fontId="29" fillId="11" borderId="58" xfId="0" applyFont="1" applyFill="1" applyBorder="1" applyAlignment="1" applyProtection="1">
      <alignment horizontal="left" vertical="center" wrapText="1"/>
    </xf>
    <xf numFmtId="0" fontId="29" fillId="11" borderId="36" xfId="0" applyFont="1" applyFill="1" applyBorder="1" applyAlignment="1" applyProtection="1">
      <alignment horizontal="left" vertical="center" wrapText="1"/>
    </xf>
    <xf numFmtId="0" fontId="28" fillId="11" borderId="36" xfId="0" applyFont="1" applyFill="1" applyBorder="1" applyProtection="1"/>
    <xf numFmtId="0" fontId="28" fillId="11" borderId="52" xfId="0" applyFont="1" applyFill="1" applyBorder="1" applyAlignment="1" applyProtection="1">
      <alignment horizontal="left" vertical="center"/>
    </xf>
    <xf numFmtId="0" fontId="28" fillId="11" borderId="39" xfId="0" applyFont="1" applyFill="1" applyBorder="1" applyAlignment="1" applyProtection="1">
      <alignment horizontal="left" vertical="center"/>
    </xf>
    <xf numFmtId="0" fontId="28" fillId="6" borderId="64" xfId="0" applyFont="1" applyFill="1" applyBorder="1" applyAlignment="1" applyProtection="1">
      <alignment horizontal="left" vertical="center"/>
      <protection locked="0"/>
    </xf>
    <xf numFmtId="0" fontId="28" fillId="6" borderId="8" xfId="0" applyFont="1" applyFill="1" applyBorder="1" applyAlignment="1" applyProtection="1">
      <alignment horizontal="left" vertical="center"/>
      <protection locked="0"/>
    </xf>
    <xf numFmtId="0" fontId="28" fillId="6" borderId="48" xfId="0" applyFont="1" applyFill="1" applyBorder="1" applyAlignment="1" applyProtection="1">
      <alignment horizontal="left" vertical="center"/>
      <protection locked="0"/>
    </xf>
    <xf numFmtId="0" fontId="28" fillId="11" borderId="50" xfId="0" applyFont="1" applyFill="1" applyBorder="1" applyAlignment="1" applyProtection="1">
      <alignment horizontal="left" vertical="center"/>
    </xf>
    <xf numFmtId="0" fontId="28" fillId="11" borderId="1" xfId="0" applyFont="1" applyFill="1" applyBorder="1" applyAlignment="1" applyProtection="1">
      <alignment horizontal="left" vertical="center"/>
    </xf>
    <xf numFmtId="0" fontId="28" fillId="6" borderId="82" xfId="0" applyFont="1" applyFill="1" applyBorder="1" applyAlignment="1" applyProtection="1">
      <alignment horizontal="left" vertical="center"/>
      <protection locked="0"/>
    </xf>
    <xf numFmtId="0" fontId="28" fillId="6" borderId="16" xfId="0" applyFont="1" applyFill="1" applyBorder="1" applyAlignment="1" applyProtection="1">
      <alignment horizontal="left" vertical="center"/>
      <protection locked="0"/>
    </xf>
    <xf numFmtId="0" fontId="28" fillId="6" borderId="37" xfId="0" applyFont="1" applyFill="1" applyBorder="1" applyAlignment="1" applyProtection="1">
      <alignment horizontal="left" vertical="center"/>
      <protection locked="0"/>
    </xf>
    <xf numFmtId="0" fontId="79" fillId="6" borderId="11" xfId="0" applyFont="1" applyFill="1" applyBorder="1" applyAlignment="1" applyProtection="1">
      <alignment horizontal="left" vertical="center" wrapText="1"/>
      <protection locked="0"/>
    </xf>
    <xf numFmtId="0" fontId="79" fillId="6" borderId="0" xfId="0" applyFont="1" applyFill="1" applyBorder="1" applyAlignment="1" applyProtection="1">
      <alignment horizontal="left" vertical="center" wrapText="1"/>
      <protection locked="0"/>
    </xf>
    <xf numFmtId="0" fontId="28" fillId="6" borderId="57" xfId="0" applyFont="1" applyFill="1" applyBorder="1" applyAlignment="1" applyProtection="1">
      <alignment horizontal="left" vertical="center"/>
      <protection locked="0"/>
    </xf>
    <xf numFmtId="0" fontId="28" fillId="6" borderId="20" xfId="0" applyFont="1" applyFill="1" applyBorder="1" applyAlignment="1" applyProtection="1">
      <alignment horizontal="left" vertical="center"/>
      <protection locked="0"/>
    </xf>
    <xf numFmtId="0" fontId="28" fillId="6" borderId="70" xfId="0" applyFont="1" applyFill="1" applyBorder="1" applyAlignment="1" applyProtection="1">
      <alignment horizontal="left" vertical="center"/>
      <protection locked="0"/>
    </xf>
    <xf numFmtId="0" fontId="28" fillId="11" borderId="82" xfId="0" applyFont="1" applyFill="1" applyBorder="1" applyAlignment="1" applyProtection="1">
      <alignment horizontal="left" vertical="center"/>
    </xf>
    <xf numFmtId="0" fontId="28" fillId="11" borderId="37" xfId="0" applyFont="1" applyFill="1" applyBorder="1" applyAlignment="1" applyProtection="1">
      <alignment horizontal="left" vertical="center"/>
    </xf>
    <xf numFmtId="0" fontId="79" fillId="6" borderId="82" xfId="0" applyFont="1" applyFill="1" applyBorder="1" applyAlignment="1" applyProtection="1">
      <alignment horizontal="left" vertical="center" wrapText="1"/>
      <protection locked="0"/>
    </xf>
    <xf numFmtId="0" fontId="79" fillId="6" borderId="16" xfId="0" applyFont="1" applyFill="1" applyBorder="1" applyAlignment="1" applyProtection="1">
      <alignment horizontal="left" vertical="center" wrapText="1"/>
      <protection locked="0"/>
    </xf>
    <xf numFmtId="0" fontId="79" fillId="6" borderId="37" xfId="0" applyFont="1" applyFill="1" applyBorder="1" applyAlignment="1" applyProtection="1">
      <alignment horizontal="left" vertical="center" wrapText="1"/>
      <protection locked="0"/>
    </xf>
    <xf numFmtId="0" fontId="28" fillId="11" borderId="69" xfId="0" applyFont="1" applyFill="1" applyBorder="1" applyAlignment="1" applyProtection="1">
      <alignment horizontal="left" vertical="center"/>
    </xf>
    <xf numFmtId="0" fontId="28" fillId="11" borderId="21" xfId="0" applyFont="1" applyFill="1" applyBorder="1" applyAlignment="1" applyProtection="1">
      <alignment horizontal="left" vertical="center"/>
    </xf>
    <xf numFmtId="0" fontId="28" fillId="6" borderId="80" xfId="0" applyFont="1" applyFill="1" applyBorder="1" applyAlignment="1" applyProtection="1">
      <alignment horizontal="left" vertical="center" wrapText="1"/>
      <protection locked="0"/>
    </xf>
    <xf numFmtId="0" fontId="28" fillId="6" borderId="45" xfId="0" applyFont="1" applyFill="1" applyBorder="1" applyAlignment="1" applyProtection="1">
      <alignment horizontal="left" vertical="center" wrapText="1"/>
      <protection locked="0"/>
    </xf>
    <xf numFmtId="0" fontId="28" fillId="6" borderId="46" xfId="0" applyFont="1" applyFill="1" applyBorder="1" applyAlignment="1" applyProtection="1">
      <alignment horizontal="left" vertical="center" wrapText="1"/>
      <protection locked="0"/>
    </xf>
    <xf numFmtId="0" fontId="29" fillId="6" borderId="58" xfId="0" applyFont="1" applyFill="1" applyBorder="1" applyAlignment="1" applyProtection="1">
      <alignment horizontal="right" vertical="center"/>
    </xf>
    <xf numFmtId="0" fontId="29" fillId="6" borderId="0" xfId="0" applyFont="1" applyFill="1" applyBorder="1" applyAlignment="1" applyProtection="1">
      <alignment horizontal="right" vertical="center"/>
    </xf>
    <xf numFmtId="0" fontId="29" fillId="11" borderId="55" xfId="0" applyFont="1" applyFill="1" applyBorder="1" applyAlignment="1" applyProtection="1">
      <alignment horizontal="left" vertical="center"/>
    </xf>
    <xf numFmtId="0" fontId="29" fillId="11" borderId="58" xfId="0" applyFont="1" applyFill="1" applyBorder="1" applyAlignment="1" applyProtection="1">
      <alignment horizontal="left" vertical="center"/>
    </xf>
    <xf numFmtId="0" fontId="29" fillId="11" borderId="66" xfId="0" applyFont="1" applyFill="1" applyBorder="1" applyAlignment="1" applyProtection="1">
      <alignment horizontal="left" vertical="center"/>
    </xf>
    <xf numFmtId="0" fontId="28" fillId="6" borderId="55" xfId="0" applyFont="1" applyFill="1" applyBorder="1" applyAlignment="1" applyProtection="1">
      <alignment horizontal="left" vertical="center"/>
      <protection locked="0"/>
    </xf>
    <xf numFmtId="0" fontId="28" fillId="6" borderId="58" xfId="0" applyFont="1" applyFill="1" applyBorder="1" applyAlignment="1" applyProtection="1">
      <alignment horizontal="left" vertical="center"/>
      <protection locked="0"/>
    </xf>
    <xf numFmtId="0" fontId="28" fillId="6" borderId="66" xfId="0" applyFont="1" applyFill="1" applyBorder="1" applyAlignment="1" applyProtection="1">
      <alignment horizontal="left" vertical="center"/>
      <protection locked="0"/>
    </xf>
    <xf numFmtId="0" fontId="33" fillId="9" borderId="56" xfId="0" applyFont="1" applyFill="1" applyBorder="1" applyAlignment="1" applyProtection="1">
      <alignment horizontal="left" vertical="center"/>
    </xf>
    <xf numFmtId="0" fontId="29" fillId="16" borderId="74" xfId="0" applyFont="1" applyFill="1" applyBorder="1" applyAlignment="1" applyProtection="1">
      <alignment horizontal="center" vertical="center" wrapText="1"/>
    </xf>
    <xf numFmtId="0" fontId="28" fillId="16" borderId="65" xfId="0" applyFont="1" applyFill="1" applyBorder="1" applyAlignment="1" applyProtection="1">
      <alignment horizontal="center" vertical="center" wrapText="1"/>
    </xf>
    <xf numFmtId="0" fontId="28" fillId="16" borderId="65" xfId="0" applyFont="1" applyFill="1" applyBorder="1" applyAlignment="1" applyProtection="1">
      <alignment vertical="center" wrapText="1"/>
    </xf>
    <xf numFmtId="0" fontId="28" fillId="16" borderId="75" xfId="0" applyFont="1" applyFill="1" applyBorder="1" applyAlignment="1" applyProtection="1">
      <alignment vertical="center" wrapText="1"/>
    </xf>
    <xf numFmtId="0" fontId="28" fillId="2" borderId="58" xfId="0" applyFont="1" applyFill="1" applyBorder="1" applyAlignment="1" applyProtection="1">
      <alignment horizontal="left" vertical="center" wrapText="1"/>
      <protection locked="0"/>
    </xf>
    <xf numFmtId="0" fontId="28" fillId="0" borderId="58" xfId="0" applyFont="1" applyBorder="1" applyAlignment="1" applyProtection="1">
      <alignment horizontal="left" vertical="center" wrapText="1"/>
      <protection locked="0"/>
    </xf>
    <xf numFmtId="0" fontId="28" fillId="0" borderId="66" xfId="0" applyFont="1" applyBorder="1" applyAlignment="1" applyProtection="1">
      <alignment horizontal="left" vertical="center" wrapText="1"/>
      <protection locked="0"/>
    </xf>
    <xf numFmtId="0" fontId="29" fillId="16" borderId="74" xfId="0" applyFont="1" applyFill="1" applyBorder="1" applyAlignment="1" applyProtection="1">
      <alignment horizontal="left" vertical="center" wrapText="1"/>
    </xf>
    <xf numFmtId="0" fontId="28" fillId="16" borderId="77" xfId="0" applyFont="1" applyFill="1" applyBorder="1" applyAlignment="1" applyProtection="1">
      <alignment wrapText="1"/>
    </xf>
    <xf numFmtId="0" fontId="45" fillId="16" borderId="10" xfId="0" applyFont="1" applyFill="1" applyBorder="1" applyAlignment="1" applyProtection="1">
      <alignment horizontal="left" vertical="center" wrapText="1"/>
    </xf>
    <xf numFmtId="0" fontId="45" fillId="16" borderId="67" xfId="0" applyFont="1" applyFill="1" applyBorder="1" applyAlignment="1" applyProtection="1">
      <alignment horizontal="left" vertical="center" wrapText="1"/>
    </xf>
    <xf numFmtId="0" fontId="29" fillId="16" borderId="81" xfId="0" applyFont="1" applyFill="1" applyBorder="1" applyAlignment="1" applyProtection="1">
      <alignment horizontal="left" vertical="center"/>
    </xf>
    <xf numFmtId="0" fontId="29" fillId="16" borderId="79" xfId="0" applyFont="1" applyFill="1" applyBorder="1" applyAlignment="1" applyProtection="1">
      <alignment horizontal="left" vertical="center"/>
    </xf>
    <xf numFmtId="0" fontId="29" fillId="16" borderId="65" xfId="0" applyFont="1" applyFill="1" applyBorder="1" applyAlignment="1" applyProtection="1">
      <alignment horizontal="center" vertical="center" wrapText="1"/>
    </xf>
    <xf numFmtId="0" fontId="28" fillId="16" borderId="52" xfId="0" applyFont="1" applyFill="1" applyBorder="1" applyAlignment="1" applyProtection="1">
      <alignment horizontal="left" vertical="center"/>
    </xf>
    <xf numFmtId="0" fontId="28" fillId="16" borderId="39" xfId="0" applyFont="1" applyFill="1" applyBorder="1" applyAlignment="1" applyProtection="1">
      <alignment horizontal="left" vertical="center"/>
    </xf>
    <xf numFmtId="166" fontId="28" fillId="0" borderId="39" xfId="0" applyNumberFormat="1" applyFont="1" applyFill="1" applyBorder="1" applyAlignment="1" applyProtection="1">
      <alignment horizontal="left" vertical="center"/>
      <protection locked="0"/>
    </xf>
    <xf numFmtId="0" fontId="28" fillId="0" borderId="39" xfId="0" applyFont="1" applyBorder="1" applyAlignment="1" applyProtection="1">
      <alignment horizontal="left" vertical="center"/>
      <protection locked="0"/>
    </xf>
    <xf numFmtId="0" fontId="28" fillId="16" borderId="50" xfId="0" applyFont="1" applyFill="1" applyBorder="1" applyAlignment="1" applyProtection="1">
      <alignment horizontal="left" vertical="center"/>
    </xf>
    <xf numFmtId="0" fontId="28" fillId="16" borderId="1" xfId="0" applyFont="1" applyFill="1" applyBorder="1" applyAlignment="1" applyProtection="1">
      <alignment horizontal="left" vertical="center"/>
    </xf>
    <xf numFmtId="166" fontId="28" fillId="0" borderId="1" xfId="0" applyNumberFormat="1" applyFont="1" applyFill="1" applyBorder="1" applyAlignment="1" applyProtection="1">
      <alignment horizontal="left" vertical="center"/>
      <protection locked="0"/>
    </xf>
    <xf numFmtId="0" fontId="28" fillId="0" borderId="1" xfId="0" applyFont="1" applyBorder="1" applyAlignment="1" applyProtection="1">
      <alignment horizontal="left" vertical="center"/>
      <protection locked="0"/>
    </xf>
    <xf numFmtId="0" fontId="28" fillId="16" borderId="69" xfId="0" applyFont="1" applyFill="1" applyBorder="1" applyAlignment="1" applyProtection="1">
      <alignment horizontal="left" vertical="center"/>
    </xf>
    <xf numFmtId="0" fontId="28" fillId="16" borderId="21" xfId="0" applyFont="1" applyFill="1" applyBorder="1" applyAlignment="1" applyProtection="1">
      <alignment horizontal="left" vertical="center"/>
    </xf>
    <xf numFmtId="166" fontId="28" fillId="0" borderId="21" xfId="0" applyNumberFormat="1" applyFont="1" applyFill="1" applyBorder="1" applyAlignment="1" applyProtection="1">
      <alignment horizontal="left" vertical="center"/>
      <protection locked="0"/>
    </xf>
    <xf numFmtId="0" fontId="28" fillId="0" borderId="21" xfId="0" applyFont="1" applyBorder="1" applyAlignment="1" applyProtection="1">
      <alignment horizontal="left" vertical="center"/>
      <protection locked="0"/>
    </xf>
    <xf numFmtId="0" fontId="29" fillId="16" borderId="55" xfId="0" applyFont="1" applyFill="1" applyBorder="1" applyAlignment="1" applyProtection="1">
      <alignment horizontal="right" vertical="center"/>
    </xf>
    <xf numFmtId="0" fontId="29" fillId="16" borderId="78" xfId="0" applyFont="1" applyFill="1" applyBorder="1" applyAlignment="1" applyProtection="1">
      <alignment horizontal="right" vertical="center"/>
    </xf>
    <xf numFmtId="166" fontId="28" fillId="0" borderId="65" xfId="0" applyNumberFormat="1" applyFont="1" applyFill="1" applyBorder="1" applyAlignment="1" applyProtection="1">
      <alignment horizontal="left" vertical="center"/>
    </xf>
    <xf numFmtId="0" fontId="28" fillId="0" borderId="65" xfId="0" applyFont="1" applyBorder="1" applyAlignment="1" applyProtection="1">
      <alignment horizontal="left" vertical="center"/>
    </xf>
    <xf numFmtId="166" fontId="28" fillId="0" borderId="13" xfId="0" applyNumberFormat="1" applyFont="1" applyFill="1" applyBorder="1" applyAlignment="1" applyProtection="1">
      <alignment horizontal="left" vertical="center"/>
      <protection locked="0"/>
    </xf>
    <xf numFmtId="166" fontId="28" fillId="0" borderId="6" xfId="0" applyNumberFormat="1" applyFont="1" applyFill="1" applyBorder="1" applyAlignment="1" applyProtection="1">
      <alignment horizontal="left" vertical="center"/>
      <protection locked="0"/>
    </xf>
    <xf numFmtId="0" fontId="29" fillId="16" borderId="55" xfId="0" applyFont="1" applyFill="1" applyBorder="1" applyAlignment="1" applyProtection="1">
      <alignment horizontal="left" vertical="center" wrapText="1"/>
    </xf>
    <xf numFmtId="0" fontId="29" fillId="16" borderId="58" xfId="0" applyFont="1" applyFill="1" applyBorder="1" applyAlignment="1" applyProtection="1">
      <alignment horizontal="left" vertical="center" wrapText="1"/>
    </xf>
    <xf numFmtId="0" fontId="29" fillId="16" borderId="66" xfId="0" applyFont="1" applyFill="1" applyBorder="1" applyAlignment="1" applyProtection="1">
      <alignment horizontal="left" vertical="center" wrapText="1"/>
    </xf>
    <xf numFmtId="0" fontId="29" fillId="16" borderId="7" xfId="0" applyFont="1" applyFill="1" applyBorder="1" applyAlignment="1" applyProtection="1">
      <alignment horizontal="center" vertical="center" wrapText="1"/>
    </xf>
    <xf numFmtId="0" fontId="29" fillId="16" borderId="67" xfId="0" applyFont="1" applyFill="1" applyBorder="1" applyAlignment="1" applyProtection="1">
      <alignment horizontal="center" vertical="center" wrapText="1"/>
    </xf>
    <xf numFmtId="0" fontId="29" fillId="16" borderId="10" xfId="0" applyFont="1" applyFill="1" applyBorder="1" applyAlignment="1" applyProtection="1">
      <alignment horizontal="center" vertical="center" wrapText="1"/>
    </xf>
    <xf numFmtId="0" fontId="28" fillId="6" borderId="40" xfId="0" applyFont="1" applyFill="1" applyBorder="1" applyAlignment="1" applyProtection="1">
      <alignment horizontal="left" vertical="center"/>
      <protection locked="0"/>
    </xf>
    <xf numFmtId="0" fontId="28" fillId="6" borderId="33" xfId="0" applyFont="1" applyFill="1" applyBorder="1" applyAlignment="1" applyProtection="1">
      <alignment horizontal="left" vertical="center"/>
      <protection locked="0"/>
    </xf>
    <xf numFmtId="0" fontId="28" fillId="6" borderId="44" xfId="0" applyFont="1" applyFill="1" applyBorder="1" applyAlignment="1" applyProtection="1">
      <alignment horizontal="left" vertical="center"/>
      <protection locked="0"/>
    </xf>
    <xf numFmtId="0" fontId="28" fillId="6" borderId="55" xfId="1" applyNumberFormat="1" applyFont="1" applyFill="1" applyBorder="1" applyAlignment="1" applyProtection="1">
      <alignment horizontal="left" vertical="center" wrapText="1"/>
      <protection locked="0"/>
    </xf>
    <xf numFmtId="0" fontId="28" fillId="6" borderId="58" xfId="1" applyNumberFormat="1" applyFont="1" applyFill="1" applyBorder="1" applyAlignment="1" applyProtection="1">
      <alignment horizontal="left" vertical="center" wrapText="1"/>
      <protection locked="0"/>
    </xf>
    <xf numFmtId="0" fontId="28" fillId="6" borderId="66" xfId="1" applyNumberFormat="1" applyFont="1" applyFill="1" applyBorder="1" applyAlignment="1" applyProtection="1">
      <alignment horizontal="left" vertical="center" wrapText="1"/>
      <protection locked="0"/>
    </xf>
    <xf numFmtId="0" fontId="28" fillId="16" borderId="4" xfId="0" applyFont="1" applyFill="1" applyBorder="1" applyAlignment="1" applyProtection="1">
      <alignment horizontal="left" vertical="center"/>
    </xf>
    <xf numFmtId="0" fontId="28" fillId="16" borderId="87" xfId="0" applyFont="1" applyFill="1" applyBorder="1" applyAlignment="1" applyProtection="1">
      <alignment horizontal="left" vertical="center"/>
    </xf>
    <xf numFmtId="0" fontId="28" fillId="16" borderId="73" xfId="0" applyFont="1" applyFill="1" applyBorder="1" applyAlignment="1" applyProtection="1">
      <alignment horizontal="left" vertical="center"/>
    </xf>
    <xf numFmtId="0" fontId="28" fillId="16" borderId="51" xfId="0" applyFont="1" applyFill="1" applyBorder="1" applyAlignment="1" applyProtection="1">
      <alignment horizontal="left" vertical="center"/>
    </xf>
    <xf numFmtId="0" fontId="28" fillId="16" borderId="53" xfId="0" applyFont="1" applyFill="1" applyBorder="1" applyAlignment="1" applyProtection="1">
      <alignment horizontal="left" vertical="center"/>
    </xf>
    <xf numFmtId="0" fontId="28" fillId="6" borderId="80" xfId="0" applyFont="1" applyFill="1" applyBorder="1" applyAlignment="1" applyProtection="1">
      <alignment horizontal="left" vertical="center"/>
      <protection locked="0"/>
    </xf>
    <xf numFmtId="0" fontId="28" fillId="6" borderId="45" xfId="0" applyFont="1" applyFill="1" applyBorder="1" applyAlignment="1" applyProtection="1">
      <alignment horizontal="left" vertical="center"/>
      <protection locked="0"/>
    </xf>
    <xf numFmtId="0" fontId="28" fillId="6" borderId="46" xfId="0" applyFont="1" applyFill="1" applyBorder="1" applyAlignment="1" applyProtection="1">
      <alignment horizontal="left" vertical="center"/>
      <protection locked="0"/>
    </xf>
    <xf numFmtId="0" fontId="43" fillId="9" borderId="0" xfId="0" applyFont="1" applyFill="1" applyBorder="1" applyAlignment="1" applyProtection="1">
      <alignment horizontal="left" vertical="center"/>
    </xf>
    <xf numFmtId="49" fontId="43" fillId="9" borderId="0" xfId="0" applyNumberFormat="1" applyFont="1" applyFill="1" applyBorder="1" applyAlignment="1" applyProtection="1">
      <alignment horizontal="left" vertical="center"/>
    </xf>
    <xf numFmtId="0" fontId="45" fillId="2" borderId="0" xfId="0" applyFont="1" applyFill="1" applyBorder="1" applyAlignment="1" applyProtection="1">
      <alignment horizontal="left" vertical="center" wrapText="1"/>
    </xf>
    <xf numFmtId="49" fontId="45" fillId="2" borderId="0" xfId="0" applyNumberFormat="1" applyFont="1" applyFill="1" applyBorder="1" applyAlignment="1" applyProtection="1">
      <alignment horizontal="left" vertical="center" wrapText="1"/>
    </xf>
    <xf numFmtId="49" fontId="43" fillId="16" borderId="55" xfId="0" applyNumberFormat="1" applyFont="1" applyFill="1" applyBorder="1" applyAlignment="1" applyProtection="1">
      <alignment horizontal="center" vertical="center" wrapText="1"/>
    </xf>
    <xf numFmtId="0" fontId="43" fillId="16" borderId="58" xfId="0" applyFont="1" applyFill="1" applyBorder="1" applyAlignment="1" applyProtection="1">
      <alignment horizontal="center" vertical="center" wrapText="1"/>
    </xf>
    <xf numFmtId="0" fontId="43" fillId="17" borderId="40" xfId="0" applyFont="1" applyFill="1" applyBorder="1" applyAlignment="1" applyProtection="1">
      <alignment horizontal="center" vertical="center" wrapText="1"/>
    </xf>
    <xf numFmtId="0" fontId="43" fillId="17" borderId="44" xfId="0" applyFont="1" applyFill="1" applyBorder="1" applyAlignment="1" applyProtection="1">
      <alignment horizontal="center" vertical="center" wrapText="1"/>
    </xf>
    <xf numFmtId="0" fontId="23" fillId="0" borderId="35" xfId="0" applyFont="1" applyFill="1" applyBorder="1" applyAlignment="1" applyProtection="1">
      <alignment horizontal="left" vertical="center" wrapText="1"/>
      <protection locked="0"/>
    </xf>
    <xf numFmtId="0" fontId="23" fillId="0" borderId="73" xfId="0" applyFont="1" applyFill="1" applyBorder="1" applyAlignment="1" applyProtection="1">
      <alignment horizontal="left" vertical="center" wrapText="1"/>
      <protection locked="0"/>
    </xf>
    <xf numFmtId="0" fontId="43" fillId="16" borderId="40" xfId="0" applyFont="1" applyFill="1" applyBorder="1" applyAlignment="1" applyProtection="1">
      <alignment horizontal="center" vertical="center" wrapText="1"/>
    </xf>
    <xf numFmtId="0" fontId="43" fillId="16" borderId="33" xfId="0" applyFont="1" applyFill="1" applyBorder="1" applyAlignment="1" applyProtection="1">
      <alignment horizontal="center" vertical="center" wrapText="1"/>
    </xf>
    <xf numFmtId="0" fontId="43" fillId="17" borderId="0" xfId="0" applyFont="1" applyFill="1" applyBorder="1" applyAlignment="1" applyProtection="1">
      <alignment horizontal="center" vertical="center" wrapText="1"/>
    </xf>
    <xf numFmtId="0" fontId="23" fillId="0" borderId="16" xfId="0" applyFont="1" applyFill="1" applyBorder="1" applyAlignment="1" applyProtection="1">
      <alignment horizontal="left" vertical="center" wrapText="1"/>
      <protection locked="0"/>
    </xf>
    <xf numFmtId="0" fontId="23" fillId="0" borderId="37" xfId="0" applyFont="1" applyFill="1" applyBorder="1" applyAlignment="1" applyProtection="1">
      <alignment horizontal="left" vertical="center" wrapText="1"/>
      <protection locked="0"/>
    </xf>
    <xf numFmtId="0" fontId="24" fillId="0" borderId="68" xfId="0" applyFont="1" applyFill="1" applyBorder="1" applyAlignment="1" applyProtection="1">
      <alignment horizontal="left" vertical="center" wrapText="1"/>
      <protection locked="0"/>
    </xf>
    <xf numFmtId="0" fontId="24" fillId="0" borderId="45" xfId="0" applyFont="1" applyFill="1" applyBorder="1" applyAlignment="1" applyProtection="1">
      <alignment horizontal="left" vertical="center" wrapText="1"/>
      <protection locked="0"/>
    </xf>
    <xf numFmtId="49" fontId="24" fillId="0" borderId="46" xfId="0" applyNumberFormat="1" applyFont="1" applyFill="1" applyBorder="1" applyAlignment="1" applyProtection="1">
      <alignment horizontal="left" vertical="center" wrapText="1"/>
      <protection locked="0"/>
    </xf>
    <xf numFmtId="0" fontId="23" fillId="6" borderId="7" xfId="0" applyFont="1" applyFill="1" applyBorder="1" applyAlignment="1" applyProtection="1">
      <alignment horizontal="center" vertical="center" wrapText="1"/>
      <protection locked="0"/>
    </xf>
    <xf numFmtId="0" fontId="23" fillId="6" borderId="10" xfId="0" applyFont="1" applyFill="1" applyBorder="1" applyAlignment="1" applyProtection="1">
      <alignment horizontal="center" vertical="center" wrapText="1"/>
      <protection locked="0"/>
    </xf>
    <xf numFmtId="49" fontId="23" fillId="6" borderId="10" xfId="0" applyNumberFormat="1" applyFont="1" applyFill="1" applyBorder="1" applyAlignment="1" applyProtection="1">
      <alignment horizontal="center" vertical="center" wrapText="1"/>
      <protection locked="0"/>
    </xf>
    <xf numFmtId="0" fontId="44" fillId="0" borderId="0" xfId="0" applyFont="1" applyFill="1" applyBorder="1" applyAlignment="1" applyProtection="1">
      <alignment horizontal="center"/>
    </xf>
    <xf numFmtId="0" fontId="29" fillId="0" borderId="0" xfId="0" applyFont="1" applyFill="1" applyBorder="1" applyAlignment="1" applyProtection="1">
      <alignment horizontal="left" vertical="top" wrapText="1"/>
    </xf>
    <xf numFmtId="0" fontId="24" fillId="0" borderId="13" xfId="0" applyFont="1" applyFill="1" applyBorder="1" applyAlignment="1" applyProtection="1">
      <alignment horizontal="left" vertical="center" wrapText="1"/>
      <protection locked="0"/>
    </xf>
    <xf numFmtId="0" fontId="24" fillId="0" borderId="16" xfId="0" applyFont="1" applyFill="1" applyBorder="1" applyAlignment="1" applyProtection="1">
      <alignment horizontal="left" vertical="center" wrapText="1"/>
      <protection locked="0"/>
    </xf>
    <xf numFmtId="49" fontId="24" fillId="0" borderId="37" xfId="0" applyNumberFormat="1" applyFont="1" applyFill="1" applyBorder="1" applyAlignment="1" applyProtection="1">
      <alignment horizontal="left" vertical="center" wrapText="1"/>
      <protection locked="0"/>
    </xf>
    <xf numFmtId="0" fontId="24" fillId="0" borderId="54" xfId="0" applyFont="1" applyFill="1" applyBorder="1" applyAlignment="1" applyProtection="1">
      <alignment horizontal="left" vertical="center" wrapText="1"/>
      <protection locked="0"/>
    </xf>
    <xf numFmtId="0" fontId="24" fillId="0" borderId="35" xfId="0" applyFont="1" applyFill="1" applyBorder="1" applyAlignment="1" applyProtection="1">
      <alignment horizontal="left" vertical="center" wrapText="1"/>
      <protection locked="0"/>
    </xf>
    <xf numFmtId="49" fontId="24" fillId="0" borderId="73" xfId="0" applyNumberFormat="1" applyFont="1" applyFill="1" applyBorder="1" applyAlignment="1" applyProtection="1">
      <alignment horizontal="left" vertical="center" wrapText="1"/>
      <protection locked="0"/>
    </xf>
    <xf numFmtId="0" fontId="43" fillId="16" borderId="0" xfId="0" applyFont="1" applyFill="1" applyBorder="1" applyAlignment="1" applyProtection="1">
      <alignment horizontal="left" vertical="center" wrapText="1"/>
    </xf>
    <xf numFmtId="2" fontId="34" fillId="0" borderId="0" xfId="0" applyNumberFormat="1" applyFont="1" applyFill="1" applyBorder="1" applyAlignment="1" applyProtection="1">
      <alignment horizontal="left" vertical="center" wrapText="1" indent="2"/>
    </xf>
    <xf numFmtId="2" fontId="50" fillId="0" borderId="0" xfId="0" applyNumberFormat="1" applyFont="1" applyFill="1" applyBorder="1" applyAlignment="1" applyProtection="1">
      <alignment horizontal="left" vertical="center" wrapText="1" indent="2"/>
    </xf>
    <xf numFmtId="0" fontId="43" fillId="11" borderId="35" xfId="0" applyFont="1" applyFill="1" applyBorder="1" applyAlignment="1" applyProtection="1">
      <alignment horizontal="left" vertical="center"/>
    </xf>
    <xf numFmtId="0" fontId="24" fillId="0" borderId="18" xfId="0" applyFont="1" applyFill="1" applyBorder="1" applyAlignment="1" applyProtection="1">
      <alignment horizontal="left" vertical="center" wrapText="1"/>
      <protection locked="0"/>
    </xf>
    <xf numFmtId="0" fontId="24" fillId="0" borderId="20" xfId="0" applyFont="1" applyFill="1" applyBorder="1" applyAlignment="1" applyProtection="1">
      <alignment horizontal="left" vertical="center" wrapText="1"/>
      <protection locked="0"/>
    </xf>
    <xf numFmtId="0" fontId="24" fillId="0" borderId="19" xfId="0" applyFont="1" applyFill="1" applyBorder="1" applyAlignment="1" applyProtection="1">
      <alignment horizontal="left" vertical="center" wrapText="1"/>
      <protection locked="0"/>
    </xf>
    <xf numFmtId="0" fontId="0" fillId="0" borderId="17" xfId="0" applyBorder="1" applyAlignment="1" applyProtection="1">
      <alignment horizontal="left" vertical="center" wrapText="1"/>
      <protection locked="0"/>
    </xf>
    <xf numFmtId="0" fontId="0" fillId="0" borderId="0" xfId="0" applyAlignment="1" applyProtection="1">
      <alignment horizontal="left" vertical="center" wrapText="1"/>
      <protection locked="0"/>
    </xf>
    <xf numFmtId="0" fontId="0" fillId="0" borderId="9" xfId="0" applyBorder="1" applyAlignment="1" applyProtection="1">
      <alignment horizontal="left" vertical="center" wrapText="1"/>
      <protection locked="0"/>
    </xf>
    <xf numFmtId="0" fontId="0" fillId="0" borderId="54" xfId="0" applyBorder="1" applyAlignment="1" applyProtection="1">
      <alignment horizontal="left" vertical="center" wrapText="1"/>
      <protection locked="0"/>
    </xf>
    <xf numFmtId="0" fontId="0" fillId="0" borderId="35" xfId="0" applyBorder="1" applyAlignment="1" applyProtection="1">
      <alignment horizontal="left" vertical="center" wrapText="1"/>
      <protection locked="0"/>
    </xf>
    <xf numFmtId="0" fontId="0" fillId="0" borderId="83" xfId="0" applyBorder="1" applyAlignment="1" applyProtection="1">
      <alignment horizontal="left" vertical="center" wrapText="1"/>
      <protection locked="0"/>
    </xf>
    <xf numFmtId="0" fontId="24" fillId="2" borderId="18" xfId="0" applyFont="1" applyFill="1" applyBorder="1" applyAlignment="1" applyProtection="1">
      <alignment horizontal="left" vertical="center" wrapText="1"/>
      <protection locked="0"/>
    </xf>
    <xf numFmtId="0" fontId="24" fillId="2" borderId="20" xfId="0" applyFont="1" applyFill="1" applyBorder="1" applyAlignment="1" applyProtection="1">
      <alignment horizontal="left" vertical="center" wrapText="1"/>
      <protection locked="0"/>
    </xf>
    <xf numFmtId="0" fontId="24" fillId="2" borderId="19" xfId="0" applyFont="1" applyFill="1" applyBorder="1" applyAlignment="1" applyProtection="1">
      <alignment horizontal="left" vertical="center" wrapText="1"/>
      <protection locked="0"/>
    </xf>
    <xf numFmtId="0" fontId="24" fillId="2" borderId="17" xfId="0" applyFont="1" applyFill="1" applyBorder="1" applyAlignment="1" applyProtection="1">
      <alignment horizontal="left" vertical="center" wrapText="1"/>
      <protection locked="0"/>
    </xf>
    <xf numFmtId="0" fontId="24" fillId="2" borderId="0" xfId="0" applyFont="1" applyFill="1" applyBorder="1" applyAlignment="1" applyProtection="1">
      <alignment horizontal="left" vertical="center" wrapText="1"/>
      <protection locked="0"/>
    </xf>
    <xf numFmtId="0" fontId="24" fillId="2" borderId="9" xfId="0" applyFont="1" applyFill="1" applyBorder="1" applyAlignment="1" applyProtection="1">
      <alignment horizontal="left" vertical="center" wrapText="1"/>
      <protection locked="0"/>
    </xf>
    <xf numFmtId="0" fontId="24" fillId="2" borderId="54" xfId="0" applyFont="1" applyFill="1" applyBorder="1" applyAlignment="1" applyProtection="1">
      <alignment horizontal="left" vertical="center" wrapText="1"/>
      <protection locked="0"/>
    </xf>
    <xf numFmtId="0" fontId="24" fillId="2" borderId="35" xfId="0" applyFont="1" applyFill="1" applyBorder="1" applyAlignment="1" applyProtection="1">
      <alignment horizontal="left" vertical="center" wrapText="1"/>
      <protection locked="0"/>
    </xf>
    <xf numFmtId="0" fontId="24" fillId="2" borderId="83" xfId="0" applyFont="1" applyFill="1" applyBorder="1" applyAlignment="1" applyProtection="1">
      <alignment horizontal="left" vertical="center" wrapText="1"/>
      <protection locked="0"/>
    </xf>
    <xf numFmtId="0" fontId="43" fillId="11" borderId="0" xfId="0" applyFont="1" applyFill="1" applyBorder="1" applyAlignment="1" applyProtection="1">
      <alignment horizontal="left" vertical="center" wrapText="1"/>
    </xf>
    <xf numFmtId="0" fontId="37" fillId="6" borderId="0" xfId="0" applyFont="1" applyFill="1" applyBorder="1" applyAlignment="1" applyProtection="1">
      <alignment horizontal="left" vertical="center"/>
    </xf>
    <xf numFmtId="0" fontId="24" fillId="2" borderId="1" xfId="0" applyFont="1" applyFill="1" applyBorder="1" applyAlignment="1" applyProtection="1">
      <alignment horizontal="left" vertical="center" wrapText="1"/>
      <protection locked="0"/>
    </xf>
    <xf numFmtId="0" fontId="27" fillId="0" borderId="1" xfId="0" applyFont="1" applyBorder="1" applyAlignment="1" applyProtection="1">
      <alignment wrapText="1"/>
      <protection locked="0"/>
    </xf>
    <xf numFmtId="0" fontId="43" fillId="16" borderId="83" xfId="0" applyFont="1" applyFill="1" applyBorder="1" applyAlignment="1" applyProtection="1">
      <alignment vertical="center"/>
    </xf>
    <xf numFmtId="0" fontId="53" fillId="16" borderId="39" xfId="0" applyFont="1" applyFill="1" applyBorder="1" applyAlignment="1" applyProtection="1"/>
    <xf numFmtId="0" fontId="53" fillId="16" borderId="54" xfId="0" applyFont="1" applyFill="1" applyBorder="1" applyAlignment="1" applyProtection="1"/>
    <xf numFmtId="0" fontId="27" fillId="0" borderId="1" xfId="0" applyFont="1" applyBorder="1" applyAlignment="1" applyProtection="1">
      <protection locked="0"/>
    </xf>
    <xf numFmtId="0" fontId="63" fillId="2" borderId="0" xfId="0" applyFont="1" applyFill="1" applyAlignment="1" applyProtection="1">
      <alignment horizontal="left" wrapText="1"/>
    </xf>
    <xf numFmtId="0" fontId="43" fillId="0" borderId="22" xfId="0" applyFont="1" applyFill="1" applyBorder="1" applyAlignment="1" applyProtection="1">
      <alignment horizontal="left" vertical="center" wrapText="1"/>
    </xf>
    <xf numFmtId="0" fontId="43" fillId="0" borderId="27" xfId="0" applyFont="1" applyFill="1" applyBorder="1" applyAlignment="1" applyProtection="1">
      <alignment horizontal="left" vertical="center" wrapText="1"/>
    </xf>
    <xf numFmtId="0" fontId="69" fillId="9" borderId="102" xfId="5" applyFont="1" applyFill="1" applyBorder="1" applyAlignment="1" applyProtection="1">
      <alignment horizontal="left" vertical="center"/>
    </xf>
    <xf numFmtId="0" fontId="69" fillId="9" borderId="99" xfId="5" applyFont="1" applyFill="1" applyBorder="1" applyAlignment="1" applyProtection="1">
      <alignment horizontal="left" vertical="center"/>
    </xf>
    <xf numFmtId="0" fontId="69" fillId="9" borderId="136" xfId="5" applyFont="1" applyFill="1" applyBorder="1" applyAlignment="1" applyProtection="1">
      <alignment horizontal="left" vertical="center"/>
    </xf>
    <xf numFmtId="0" fontId="69" fillId="9" borderId="106" xfId="5" applyFont="1" applyFill="1" applyBorder="1" applyAlignment="1" applyProtection="1">
      <alignment horizontal="left" vertical="center"/>
    </xf>
    <xf numFmtId="0" fontId="63" fillId="0" borderId="0" xfId="5" applyFont="1" applyBorder="1" applyAlignment="1" applyProtection="1">
      <alignment horizontal="left" vertical="center" wrapText="1"/>
    </xf>
    <xf numFmtId="0" fontId="29" fillId="24" borderId="64" xfId="0" applyFont="1" applyFill="1" applyBorder="1" applyAlignment="1" applyProtection="1">
      <alignment horizontal="center" vertical="center" wrapText="1"/>
    </xf>
    <xf numFmtId="0" fontId="29" fillId="24" borderId="8" xfId="0" applyFont="1" applyFill="1" applyBorder="1" applyAlignment="1" applyProtection="1">
      <alignment horizontal="center" vertical="center" wrapText="1"/>
    </xf>
    <xf numFmtId="0" fontId="29" fillId="24" borderId="7" xfId="0" applyFont="1" applyFill="1" applyBorder="1" applyAlignment="1" applyProtection="1">
      <alignment horizontal="center" vertical="center" wrapText="1"/>
    </xf>
    <xf numFmtId="0" fontId="29" fillId="24" borderId="10" xfId="0" applyFont="1" applyFill="1" applyBorder="1" applyAlignment="1" applyProtection="1">
      <alignment horizontal="center" vertical="center" wrapText="1"/>
    </xf>
    <xf numFmtId="0" fontId="29" fillId="24" borderId="47" xfId="0" applyFont="1" applyFill="1" applyBorder="1" applyAlignment="1" applyProtection="1">
      <alignment horizontal="left" vertical="center" wrapText="1"/>
    </xf>
    <xf numFmtId="0" fontId="29" fillId="24" borderId="8" xfId="0" applyFont="1" applyFill="1" applyBorder="1" applyAlignment="1" applyProtection="1">
      <alignment horizontal="left" vertical="center" wrapText="1"/>
    </xf>
    <xf numFmtId="0" fontId="29" fillId="24" borderId="68" xfId="0" applyFont="1" applyFill="1" applyBorder="1" applyAlignment="1" applyProtection="1">
      <alignment horizontal="left" vertical="center" wrapText="1"/>
    </xf>
    <xf numFmtId="0" fontId="29" fillId="24" borderId="45" xfId="0" applyFont="1" applyFill="1" applyBorder="1" applyAlignment="1" applyProtection="1">
      <alignment horizontal="left" vertical="center" wrapText="1"/>
    </xf>
    <xf numFmtId="0" fontId="69" fillId="8" borderId="55" xfId="57" applyFont="1" applyFill="1" applyBorder="1" applyAlignment="1" applyProtection="1">
      <alignment horizontal="center" vertical="center" wrapText="1"/>
    </xf>
    <xf numFmtId="0" fontId="69" fillId="8" borderId="58" xfId="57" applyFont="1" applyFill="1" applyBorder="1" applyAlignment="1" applyProtection="1">
      <alignment horizontal="center" vertical="center" wrapText="1"/>
    </xf>
    <xf numFmtId="0" fontId="69" fillId="8" borderId="66" xfId="57" applyFont="1" applyFill="1" applyBorder="1" applyAlignment="1" applyProtection="1">
      <alignment horizontal="center" vertical="center" wrapText="1"/>
    </xf>
    <xf numFmtId="0" fontId="81" fillId="0" borderId="34" xfId="5" applyFont="1" applyBorder="1" applyAlignment="1" applyProtection="1">
      <alignment horizontal="left" wrapText="1"/>
    </xf>
    <xf numFmtId="0" fontId="24" fillId="12" borderId="125" xfId="57" applyFont="1" applyFill="1" applyBorder="1" applyAlignment="1" applyProtection="1">
      <alignment horizontal="center" vertical="center"/>
    </xf>
    <xf numFmtId="169" fontId="24" fillId="16" borderId="125" xfId="57" applyNumberFormat="1" applyFont="1" applyFill="1" applyBorder="1" applyAlignment="1" applyProtection="1">
      <alignment horizontal="center" vertical="center" wrapText="1"/>
    </xf>
    <xf numFmtId="0" fontId="43" fillId="8" borderId="47" xfId="6" applyFont="1" applyFill="1" applyBorder="1" applyAlignment="1" applyProtection="1">
      <alignment horizontal="left" vertical="center" wrapText="1"/>
    </xf>
    <xf numFmtId="0" fontId="43" fillId="8" borderId="8" xfId="6" applyFont="1" applyFill="1" applyBorder="1" applyAlignment="1" applyProtection="1">
      <alignment horizontal="left" vertical="center" wrapText="1"/>
    </xf>
    <xf numFmtId="0" fontId="43" fillId="8" borderId="68" xfId="6" applyFont="1" applyFill="1" applyBorder="1" applyAlignment="1" applyProtection="1">
      <alignment horizontal="left" vertical="center" wrapText="1"/>
    </xf>
    <xf numFmtId="0" fontId="43" fillId="8" borderId="45" xfId="6" applyFont="1" applyFill="1" applyBorder="1" applyAlignment="1" applyProtection="1">
      <alignment horizontal="left" vertical="center" wrapText="1"/>
    </xf>
    <xf numFmtId="0" fontId="27" fillId="0" borderId="1" xfId="0" applyFont="1" applyBorder="1" applyAlignment="1" applyProtection="1">
      <alignment horizontal="left" vertical="center"/>
    </xf>
    <xf numFmtId="0" fontId="23" fillId="6" borderId="28" xfId="0" applyFont="1" applyFill="1" applyBorder="1" applyAlignment="1" applyProtection="1">
      <alignment horizontal="left" vertical="center"/>
    </xf>
    <xf numFmtId="0" fontId="23" fillId="6" borderId="27" xfId="0" applyFont="1" applyFill="1" applyBorder="1" applyAlignment="1" applyProtection="1">
      <alignment horizontal="left" vertical="center"/>
    </xf>
    <xf numFmtId="0" fontId="23" fillId="6" borderId="32" xfId="0" applyFont="1" applyFill="1" applyBorder="1" applyAlignment="1" applyProtection="1">
      <alignment horizontal="left" vertical="center"/>
    </xf>
    <xf numFmtId="0" fontId="27" fillId="0" borderId="1" xfId="0" applyFont="1" applyBorder="1" applyAlignment="1" applyProtection="1">
      <alignment horizontal="left" vertical="center" wrapText="1"/>
    </xf>
    <xf numFmtId="0" fontId="61" fillId="16" borderId="0" xfId="0" applyFont="1" applyFill="1" applyBorder="1" applyAlignment="1" applyProtection="1">
      <alignment horizontal="center" vertical="center"/>
    </xf>
    <xf numFmtId="0" fontId="43" fillId="23" borderId="68" xfId="0" applyFont="1" applyFill="1" applyBorder="1" applyAlignment="1" applyProtection="1">
      <alignment horizontal="center"/>
    </xf>
    <xf numFmtId="0" fontId="43" fillId="23" borderId="45" xfId="0" applyFont="1" applyFill="1" applyBorder="1" applyAlignment="1" applyProtection="1">
      <alignment horizontal="center"/>
    </xf>
    <xf numFmtId="0" fontId="43" fillId="23" borderId="72" xfId="0" applyFont="1" applyFill="1" applyBorder="1" applyAlignment="1" applyProtection="1">
      <alignment horizontal="center"/>
    </xf>
    <xf numFmtId="0" fontId="43" fillId="23" borderId="21" xfId="0" applyFont="1" applyFill="1" applyBorder="1" applyAlignment="1" applyProtection="1">
      <alignment horizontal="center"/>
    </xf>
    <xf numFmtId="0" fontId="36" fillId="0" borderId="0" xfId="0" applyFont="1" applyAlignment="1" applyProtection="1">
      <alignment horizontal="left" wrapText="1"/>
    </xf>
    <xf numFmtId="0" fontId="65" fillId="10" borderId="0" xfId="0" applyFont="1" applyFill="1" applyAlignment="1" applyProtection="1">
      <alignment horizontal="center" vertical="center" wrapText="1"/>
    </xf>
    <xf numFmtId="0" fontId="61" fillId="12" borderId="0" xfId="0" applyFont="1" applyFill="1" applyAlignment="1" applyProtection="1">
      <alignment horizontal="center" vertical="center"/>
    </xf>
    <xf numFmtId="0" fontId="43" fillId="12" borderId="21" xfId="0" applyFont="1" applyFill="1" applyBorder="1" applyAlignment="1" applyProtection="1">
      <alignment horizontal="center"/>
    </xf>
    <xf numFmtId="0" fontId="28" fillId="24" borderId="47" xfId="6" applyFont="1" applyFill="1" applyBorder="1" applyAlignment="1" applyProtection="1">
      <alignment horizontal="left" vertical="center" wrapText="1"/>
    </xf>
    <xf numFmtId="0" fontId="28" fillId="24" borderId="8" xfId="6" applyFont="1" applyFill="1" applyBorder="1" applyAlignment="1" applyProtection="1">
      <alignment horizontal="left" vertical="center" wrapText="1"/>
    </xf>
    <xf numFmtId="0" fontId="28" fillId="24" borderId="68" xfId="6" applyFont="1" applyFill="1" applyBorder="1" applyAlignment="1" applyProtection="1">
      <alignment horizontal="left" vertical="center" wrapText="1"/>
    </xf>
    <xf numFmtId="0" fontId="28" fillId="24" borderId="45" xfId="6" applyFont="1" applyFill="1" applyBorder="1" applyAlignment="1" applyProtection="1">
      <alignment horizontal="left" vertical="center" wrapText="1"/>
    </xf>
    <xf numFmtId="0" fontId="3" fillId="0" borderId="13" xfId="103" applyBorder="1" applyAlignment="1" applyProtection="1">
      <alignment horizontal="left"/>
      <protection locked="0"/>
    </xf>
    <xf numFmtId="0" fontId="3" fillId="0" borderId="6" xfId="103" applyBorder="1" applyAlignment="1" applyProtection="1">
      <alignment horizontal="left"/>
      <protection locked="0"/>
    </xf>
    <xf numFmtId="0" fontId="29" fillId="6" borderId="80" xfId="103" applyFont="1" applyFill="1" applyBorder="1" applyAlignment="1" applyProtection="1">
      <alignment horizontal="left" vertical="center" wrapText="1"/>
    </xf>
    <xf numFmtId="0" fontId="29" fillId="6" borderId="46" xfId="103" applyFont="1" applyFill="1" applyBorder="1" applyAlignment="1" applyProtection="1">
      <alignment horizontal="left" vertical="center" wrapText="1"/>
    </xf>
    <xf numFmtId="0" fontId="29" fillId="4" borderId="55" xfId="103" applyFont="1" applyFill="1" applyBorder="1" applyAlignment="1" applyProtection="1">
      <alignment horizontal="center" vertical="center" wrapText="1"/>
    </xf>
    <xf numFmtId="0" fontId="29" fillId="4" borderId="58" xfId="103" applyFont="1" applyFill="1" applyBorder="1" applyAlignment="1" applyProtection="1">
      <alignment horizontal="center" vertical="center" wrapText="1"/>
    </xf>
    <xf numFmtId="0" fontId="29" fillId="4" borderId="66" xfId="103" applyFont="1" applyFill="1" applyBorder="1" applyAlignment="1" applyProtection="1">
      <alignment horizontal="center" vertical="center" wrapText="1"/>
    </xf>
    <xf numFmtId="0" fontId="29" fillId="25" borderId="40" xfId="103" applyFont="1" applyFill="1" applyBorder="1" applyAlignment="1" applyProtection="1">
      <alignment horizontal="center" vertical="center" wrapText="1"/>
    </xf>
    <xf numFmtId="0" fontId="29" fillId="25" borderId="58" xfId="103" applyFont="1" applyFill="1" applyBorder="1" applyAlignment="1" applyProtection="1">
      <alignment horizontal="center" vertical="center" wrapText="1"/>
    </xf>
    <xf numFmtId="0" fontId="29" fillId="25" borderId="66" xfId="103" applyFont="1" applyFill="1" applyBorder="1" applyAlignment="1" applyProtection="1">
      <alignment horizontal="center" vertical="center" wrapText="1"/>
    </xf>
    <xf numFmtId="0" fontId="29" fillId="16" borderId="55" xfId="103" applyFont="1" applyFill="1" applyBorder="1" applyAlignment="1" applyProtection="1">
      <alignment horizontal="center" vertical="center" wrapText="1"/>
    </xf>
    <xf numFmtId="0" fontId="29" fillId="16" borderId="58" xfId="103" applyFont="1" applyFill="1" applyBorder="1" applyAlignment="1" applyProtection="1">
      <alignment horizontal="center" vertical="center" wrapText="1"/>
    </xf>
    <xf numFmtId="0" fontId="29" fillId="16" borderId="66" xfId="103" applyFont="1" applyFill="1" applyBorder="1" applyAlignment="1" applyProtection="1">
      <alignment horizontal="center" vertical="center" wrapText="1"/>
    </xf>
    <xf numFmtId="0" fontId="29" fillId="4" borderId="64" xfId="103" applyFont="1" applyFill="1" applyBorder="1" applyAlignment="1" applyProtection="1">
      <alignment horizontal="left" vertical="center" wrapText="1"/>
    </xf>
    <xf numFmtId="0" fontId="29" fillId="4" borderId="48" xfId="103" applyFont="1" applyFill="1" applyBorder="1" applyAlignment="1" applyProtection="1">
      <alignment horizontal="left" vertical="center" wrapText="1"/>
    </xf>
    <xf numFmtId="0" fontId="36" fillId="11" borderId="0" xfId="0" applyFont="1" applyFill="1" applyAlignment="1" applyProtection="1">
      <alignment horizontal="left" wrapText="1"/>
    </xf>
    <xf numFmtId="0" fontId="27" fillId="2" borderId="0" xfId="0" applyFont="1" applyFill="1" applyBorder="1" applyAlignment="1" applyProtection="1">
      <alignment horizontal="left" wrapText="1"/>
    </xf>
    <xf numFmtId="0" fontId="61" fillId="2" borderId="10" xfId="0" applyFont="1" applyFill="1" applyBorder="1" applyAlignment="1" applyProtection="1">
      <alignment horizontal="left" vertical="center" wrapText="1"/>
    </xf>
    <xf numFmtId="0" fontId="23" fillId="8" borderId="1" xfId="0" applyFont="1" applyFill="1" applyBorder="1" applyAlignment="1" applyProtection="1">
      <alignment horizontal="left"/>
    </xf>
    <xf numFmtId="1" fontId="24" fillId="6" borderId="13" xfId="0" applyNumberFormat="1" applyFont="1" applyFill="1" applyBorder="1" applyAlignment="1" applyProtection="1">
      <alignment horizontal="left"/>
    </xf>
    <xf numFmtId="1" fontId="24" fillId="6" borderId="16" xfId="0" applyNumberFormat="1" applyFont="1" applyFill="1" applyBorder="1" applyAlignment="1" applyProtection="1">
      <alignment horizontal="left"/>
    </xf>
    <xf numFmtId="1" fontId="24" fillId="6" borderId="6" xfId="0" applyNumberFormat="1" applyFont="1" applyFill="1" applyBorder="1" applyAlignment="1" applyProtection="1">
      <alignment horizontal="left"/>
    </xf>
    <xf numFmtId="0" fontId="24" fillId="6" borderId="13" xfId="0" applyFont="1" applyFill="1" applyBorder="1" applyAlignment="1" applyProtection="1">
      <alignment horizontal="left" vertical="center"/>
    </xf>
    <xf numFmtId="0" fontId="24" fillId="6" borderId="16" xfId="0" applyFont="1" applyFill="1" applyBorder="1" applyAlignment="1" applyProtection="1">
      <alignment horizontal="left" vertical="center"/>
    </xf>
    <xf numFmtId="0" fontId="24" fillId="6" borderId="6" xfId="0" applyFont="1" applyFill="1" applyBorder="1" applyAlignment="1" applyProtection="1">
      <alignment horizontal="left" vertical="center"/>
    </xf>
    <xf numFmtId="0" fontId="23" fillId="8" borderId="13" xfId="0" applyFont="1" applyFill="1" applyBorder="1" applyAlignment="1" applyProtection="1">
      <alignment horizontal="left" vertical="center"/>
    </xf>
    <xf numFmtId="0" fontId="23" fillId="8" borderId="16" xfId="0" applyFont="1" applyFill="1" applyBorder="1" applyAlignment="1" applyProtection="1">
      <alignment horizontal="left" vertical="center"/>
    </xf>
    <xf numFmtId="0" fontId="23" fillId="8" borderId="6" xfId="0" applyFont="1" applyFill="1" applyBorder="1" applyAlignment="1" applyProtection="1">
      <alignment horizontal="left" vertical="center"/>
    </xf>
    <xf numFmtId="0" fontId="27" fillId="2" borderId="35" xfId="0" applyFont="1" applyFill="1" applyBorder="1" applyAlignment="1" applyProtection="1">
      <alignment horizontal="left" vertical="center"/>
      <protection locked="0"/>
    </xf>
    <xf numFmtId="0" fontId="27" fillId="2" borderId="16" xfId="0" applyFont="1" applyFill="1" applyBorder="1" applyAlignment="1" applyProtection="1">
      <alignment horizontal="left" vertical="center"/>
      <protection locked="0"/>
    </xf>
    <xf numFmtId="3" fontId="24" fillId="6" borderId="13" xfId="0" applyNumberFormat="1" applyFont="1" applyFill="1" applyBorder="1" applyAlignment="1" applyProtection="1">
      <alignment horizontal="left" vertical="center"/>
    </xf>
    <xf numFmtId="3" fontId="24" fillId="6" borderId="16" xfId="0" applyNumberFormat="1" applyFont="1" applyFill="1" applyBorder="1" applyAlignment="1" applyProtection="1">
      <alignment horizontal="left" vertical="center"/>
    </xf>
    <xf numFmtId="3" fontId="24" fillId="6" borderId="6" xfId="0" applyNumberFormat="1" applyFont="1" applyFill="1" applyBorder="1" applyAlignment="1" applyProtection="1">
      <alignment horizontal="left" vertical="center"/>
    </xf>
    <xf numFmtId="0" fontId="23" fillId="8" borderId="82" xfId="0" applyFont="1" applyFill="1" applyBorder="1" applyAlignment="1" applyProtection="1">
      <alignment horizontal="left" vertical="center"/>
    </xf>
    <xf numFmtId="0" fontId="36" fillId="16" borderId="0" xfId="0" applyFont="1" applyFill="1" applyAlignment="1" applyProtection="1">
      <alignment horizontal="left" vertical="center" wrapText="1"/>
    </xf>
    <xf numFmtId="0" fontId="27" fillId="0" borderId="35" xfId="0" applyFont="1" applyBorder="1" applyAlignment="1">
      <alignment horizontal="left" vertical="top" wrapText="1"/>
    </xf>
    <xf numFmtId="0" fontId="27" fillId="0" borderId="20" xfId="0" applyFont="1" applyBorder="1" applyAlignment="1">
      <alignment horizontal="left" vertical="top" wrapText="1"/>
    </xf>
    <xf numFmtId="0" fontId="28" fillId="0" borderId="13" xfId="0" applyFont="1" applyBorder="1" applyAlignment="1" applyProtection="1">
      <alignment horizontal="left" vertical="center" wrapText="1"/>
      <protection locked="0"/>
    </xf>
    <xf numFmtId="0" fontId="28" fillId="0" borderId="16" xfId="0" applyFont="1" applyBorder="1" applyAlignment="1" applyProtection="1">
      <alignment horizontal="left" vertical="center" wrapText="1"/>
      <protection locked="0"/>
    </xf>
    <xf numFmtId="0" fontId="28" fillId="0" borderId="6" xfId="0" applyFont="1" applyBorder="1" applyAlignment="1" applyProtection="1">
      <alignment horizontal="left" vertical="center" wrapText="1"/>
      <protection locked="0"/>
    </xf>
    <xf numFmtId="0" fontId="27" fillId="2" borderId="35" xfId="0" applyFont="1" applyFill="1" applyBorder="1" applyAlignment="1" applyProtection="1">
      <alignment horizontal="center"/>
      <protection locked="0"/>
    </xf>
    <xf numFmtId="0" fontId="27" fillId="2" borderId="16" xfId="0" applyFont="1" applyFill="1" applyBorder="1" applyAlignment="1" applyProtection="1">
      <alignment horizontal="center"/>
      <protection locked="0"/>
    </xf>
    <xf numFmtId="0" fontId="33" fillId="8" borderId="0" xfId="6" applyFont="1" applyFill="1" applyAlignment="1" applyProtection="1">
      <alignment horizontal="left" vertical="center"/>
    </xf>
    <xf numFmtId="0" fontId="69" fillId="12" borderId="1" xfId="58" applyFont="1" applyFill="1" applyBorder="1" applyAlignment="1">
      <alignment horizontal="center" vertical="center"/>
    </xf>
    <xf numFmtId="0" fontId="69" fillId="16" borderId="13" xfId="58" applyFont="1" applyFill="1" applyBorder="1" applyAlignment="1">
      <alignment horizontal="center" vertical="center"/>
    </xf>
    <xf numFmtId="0" fontId="69" fillId="16" borderId="6" xfId="58" applyFont="1" applyFill="1" applyBorder="1" applyAlignment="1">
      <alignment horizontal="center" vertical="center"/>
    </xf>
  </cellXfs>
  <cellStyles count="212">
    <cellStyle name="20% - Accent1 2" xfId="116"/>
    <cellStyle name="20% - Accent1 2 2" xfId="117"/>
    <cellStyle name="20% - Accent1 2 2 2" xfId="118"/>
    <cellStyle name="20% - Accent1 2 3" xfId="119"/>
    <cellStyle name="20% - Accent2 2" xfId="120"/>
    <cellStyle name="20% - Accent2 2 2" xfId="121"/>
    <cellStyle name="20% - Accent2 2 2 2" xfId="122"/>
    <cellStyle name="20% - Accent2 2 3" xfId="123"/>
    <cellStyle name="20% - Accent3 2" xfId="124"/>
    <cellStyle name="20% - Accent3 2 2" xfId="125"/>
    <cellStyle name="20% - Accent3 2 2 2" xfId="126"/>
    <cellStyle name="20% - Accent3 2 3" xfId="127"/>
    <cellStyle name="20% - Accent4 2" xfId="128"/>
    <cellStyle name="20% - Accent4 2 2" xfId="129"/>
    <cellStyle name="20% - Accent4 2 2 2" xfId="130"/>
    <cellStyle name="20% - Accent4 2 3" xfId="131"/>
    <cellStyle name="20% - Accent5 2" xfId="132"/>
    <cellStyle name="20% - Accent5 2 2" xfId="133"/>
    <cellStyle name="20% - Accent5 2 2 2" xfId="134"/>
    <cellStyle name="20% - Accent5 2 3" xfId="135"/>
    <cellStyle name="20% - Accent6 2" xfId="136"/>
    <cellStyle name="20% - Accent6 2 2" xfId="137"/>
    <cellStyle name="20% - Accent6 2 2 2" xfId="138"/>
    <cellStyle name="20% - Accent6 2 3" xfId="139"/>
    <cellStyle name="40% - Accent1 2" xfId="140"/>
    <cellStyle name="40% - Accent1 2 2" xfId="141"/>
    <cellStyle name="40% - Accent1 2 2 2" xfId="142"/>
    <cellStyle name="40% - Accent1 2 3" xfId="143"/>
    <cellStyle name="40% - Accent2 2" xfId="144"/>
    <cellStyle name="40% - Accent2 2 2" xfId="145"/>
    <cellStyle name="40% - Accent2 2 2 2" xfId="146"/>
    <cellStyle name="40% - Accent2 2 3" xfId="147"/>
    <cellStyle name="40% - Accent3 2" xfId="148"/>
    <cellStyle name="40% - Accent3 2 2" xfId="149"/>
    <cellStyle name="40% - Accent3 2 2 2" xfId="150"/>
    <cellStyle name="40% - Accent3 2 3" xfId="151"/>
    <cellStyle name="40% - Accent4 2" xfId="152"/>
    <cellStyle name="40% - Accent4 2 2" xfId="153"/>
    <cellStyle name="40% - Accent4 2 2 2" xfId="154"/>
    <cellStyle name="40% - Accent4 2 3" xfId="155"/>
    <cellStyle name="40% - Accent5 2" xfId="156"/>
    <cellStyle name="40% - Accent5 2 2" xfId="157"/>
    <cellStyle name="40% - Accent5 2 2 2" xfId="158"/>
    <cellStyle name="40% - Accent5 2 3" xfId="159"/>
    <cellStyle name="40% - Accent6 2" xfId="160"/>
    <cellStyle name="40% - Accent6 2 2" xfId="161"/>
    <cellStyle name="40% - Accent6 2 2 2" xfId="162"/>
    <cellStyle name="40% - Accent6 2 3" xfId="163"/>
    <cellStyle name="60% - Accent1 2" xfId="164"/>
    <cellStyle name="60% - Accent2 2" xfId="165"/>
    <cellStyle name="60% - Accent3 2" xfId="166"/>
    <cellStyle name="60% - Accent4 2" xfId="167"/>
    <cellStyle name="60% - Accent5 2" xfId="168"/>
    <cellStyle name="60% - Accent6 2" xfId="169"/>
    <cellStyle name="Accent1 2" xfId="170"/>
    <cellStyle name="Accent2 2" xfId="171"/>
    <cellStyle name="Accent3 2" xfId="172"/>
    <cellStyle name="Accent4 2" xfId="173"/>
    <cellStyle name="Accent5 2" xfId="174"/>
    <cellStyle name="Accent6 2" xfId="175"/>
    <cellStyle name="Bad 2" xfId="176"/>
    <cellStyle name="Calculation 2" xfId="177"/>
    <cellStyle name="Check Cell 2" xfId="178"/>
    <cellStyle name="Comma" xfId="1" builtinId="3"/>
    <cellStyle name="Comma 2" xfId="2"/>
    <cellStyle name="Comma 2 2" xfId="180"/>
    <cellStyle name="Comma 2 3" xfId="179"/>
    <cellStyle name="Comma 3" xfId="3"/>
    <cellStyle name="Comma 3 2" xfId="20"/>
    <cellStyle name="Comma 4" xfId="4"/>
    <cellStyle name="Comma 5" xfId="17"/>
    <cellStyle name="Comma 6" xfId="109"/>
    <cellStyle name="Currency" xfId="107" builtinId="4"/>
    <cellStyle name="Currency 2" xfId="21"/>
    <cellStyle name="Currency 2 2" xfId="105"/>
    <cellStyle name="Currency 3" xfId="56"/>
    <cellStyle name="Explanatory Text 2" xfId="181"/>
    <cellStyle name="Good 2" xfId="182"/>
    <cellStyle name="Heading 1 2" xfId="183"/>
    <cellStyle name="Heading 2 2" xfId="184"/>
    <cellStyle name="Heading 3 2" xfId="185"/>
    <cellStyle name="Heading 4 2" xfId="186"/>
    <cellStyle name="Input 2" xfId="187"/>
    <cellStyle name="Įprastas 2" xfId="110"/>
    <cellStyle name="Linked Cell 2" xfId="188"/>
    <cellStyle name="Neutral 2" xfId="189"/>
    <cellStyle name="Normal" xfId="0" builtinId="0"/>
    <cellStyle name="Normal 10" xfId="111"/>
    <cellStyle name="Normal 11" xfId="209"/>
    <cellStyle name="Normal 12" xfId="108"/>
    <cellStyle name="Normal 17" xfId="204"/>
    <cellStyle name="Normal 19" xfId="15"/>
    <cellStyle name="Normal 19 2" xfId="26"/>
    <cellStyle name="Normal 19 2 2" xfId="71"/>
    <cellStyle name="Normal 19 3" xfId="34"/>
    <cellStyle name="Normal 19 3 2" xfId="79"/>
    <cellStyle name="Normal 19 4" xfId="42"/>
    <cellStyle name="Normal 19 4 2" xfId="87"/>
    <cellStyle name="Normal 19 5" xfId="52"/>
    <cellStyle name="Normal 19 5 2" xfId="97"/>
    <cellStyle name="Normal 19 6" xfId="63"/>
    <cellStyle name="Normal 2" xfId="5"/>
    <cellStyle name="Normal 2 11" xfId="211"/>
    <cellStyle name="Normal 2 2" xfId="11"/>
    <cellStyle name="Normal 2 2 2" xfId="23"/>
    <cellStyle name="Normal 2 2 2 2" xfId="68"/>
    <cellStyle name="Normal 2 2 3" xfId="31"/>
    <cellStyle name="Normal 2 2 3 2" xfId="76"/>
    <cellStyle name="Normal 2 2 4" xfId="39"/>
    <cellStyle name="Normal 2 2 4 2" xfId="84"/>
    <cellStyle name="Normal 2 2 5" xfId="49"/>
    <cellStyle name="Normal 2 2 5 2" xfId="94"/>
    <cellStyle name="Normal 2 2 6" xfId="104"/>
    <cellStyle name="Normal 2 2 7" xfId="106"/>
    <cellStyle name="Normal 2 2 8" xfId="60"/>
    <cellStyle name="Normal 2 2 9" xfId="190"/>
    <cellStyle name="Normal 2 3" xfId="14"/>
    <cellStyle name="Normal 2 3 2" xfId="25"/>
    <cellStyle name="Normal 2 3 2 2" xfId="70"/>
    <cellStyle name="Normal 2 3 3" xfId="33"/>
    <cellStyle name="Normal 2 3 3 2" xfId="78"/>
    <cellStyle name="Normal 2 3 4" xfId="41"/>
    <cellStyle name="Normal 2 3 4 2" xfId="86"/>
    <cellStyle name="Normal 2 3 5" xfId="51"/>
    <cellStyle name="Normal 2 3 5 2" xfId="96"/>
    <cellStyle name="Normal 2 3 6" xfId="62"/>
    <cellStyle name="Normal 21" xfId="16"/>
    <cellStyle name="Normal 21 2" xfId="27"/>
    <cellStyle name="Normal 21 2 2" xfId="72"/>
    <cellStyle name="Normal 21 3" xfId="35"/>
    <cellStyle name="Normal 21 3 2" xfId="80"/>
    <cellStyle name="Normal 21 4" xfId="43"/>
    <cellStyle name="Normal 21 4 2" xfId="88"/>
    <cellStyle name="Normal 21 5" xfId="53"/>
    <cellStyle name="Normal 21 5 2" xfId="98"/>
    <cellStyle name="Normal 21 6" xfId="64"/>
    <cellStyle name="Normal 3" xfId="9"/>
    <cellStyle name="Normal 3 2" xfId="18"/>
    <cellStyle name="Normal 3 2 2" xfId="28"/>
    <cellStyle name="Normal 3 2 2 2" xfId="73"/>
    <cellStyle name="Normal 3 2 3" xfId="36"/>
    <cellStyle name="Normal 3 2 3 2" xfId="81"/>
    <cellStyle name="Normal 3 2 4" xfId="44"/>
    <cellStyle name="Normal 3 2 4 2" xfId="89"/>
    <cellStyle name="Normal 3 2 5" xfId="54"/>
    <cellStyle name="Normal 3 2 5 2" xfId="99"/>
    <cellStyle name="Normal 3 2 6" xfId="65"/>
    <cellStyle name="Normal 3 3" xfId="22"/>
    <cellStyle name="Normal 3 3 2" xfId="67"/>
    <cellStyle name="Normal 3 4" xfId="30"/>
    <cellStyle name="Normal 3 4 2" xfId="75"/>
    <cellStyle name="Normal 3 5" xfId="38"/>
    <cellStyle name="Normal 3 5 2" xfId="83"/>
    <cellStyle name="Normal 3 6" xfId="48"/>
    <cellStyle name="Normal 3 6 2" xfId="93"/>
    <cellStyle name="Normal 3 7" xfId="57"/>
    <cellStyle name="Normal 3 7 2" xfId="101"/>
    <cellStyle name="Normal 3 8" xfId="59"/>
    <cellStyle name="Normal 3 9" xfId="200"/>
    <cellStyle name="Normal 4" xfId="13"/>
    <cellStyle name="Normal 4 2" xfId="24"/>
    <cellStyle name="Normal 4 2 2" xfId="69"/>
    <cellStyle name="Normal 4 2 2 2" xfId="203"/>
    <cellStyle name="Normal 4 2 3" xfId="202"/>
    <cellStyle name="Normal 4 3" xfId="32"/>
    <cellStyle name="Normal 4 3 2" xfId="77"/>
    <cellStyle name="Normal 4 3 3" xfId="201"/>
    <cellStyle name="Normal 4 4" xfId="40"/>
    <cellStyle name="Normal 4 4 2" xfId="85"/>
    <cellStyle name="Normal 4 4 3" xfId="205"/>
    <cellStyle name="Normal 4 5" xfId="50"/>
    <cellStyle name="Normal 4 5 2" xfId="95"/>
    <cellStyle name="Normal 4 6" xfId="58"/>
    <cellStyle name="Normal 4 6 2" xfId="102"/>
    <cellStyle name="Normal 4 7" xfId="61"/>
    <cellStyle name="Normal 4 8" xfId="112"/>
    <cellStyle name="Normal 5" xfId="12"/>
    <cellStyle name="Normal 5 2" xfId="115"/>
    <cellStyle name="Normal 6" xfId="19"/>
    <cellStyle name="Normal 6 2" xfId="29"/>
    <cellStyle name="Normal 6 2 2" xfId="74"/>
    <cellStyle name="Normal 6 3" xfId="37"/>
    <cellStyle name="Normal 6 3 2" xfId="82"/>
    <cellStyle name="Normal 6 4" xfId="45"/>
    <cellStyle name="Normal 6 4 2" xfId="90"/>
    <cellStyle name="Normal 6 5" xfId="55"/>
    <cellStyle name="Normal 6 5 2" xfId="100"/>
    <cellStyle name="Normal 6 6" xfId="66"/>
    <cellStyle name="Normal 6 7" xfId="114"/>
    <cellStyle name="Normal 7" xfId="46"/>
    <cellStyle name="Normal 7 2" xfId="91"/>
    <cellStyle name="Normal 7 2 2" xfId="210"/>
    <cellStyle name="Normal 7 3" xfId="206"/>
    <cellStyle name="Normal 8" xfId="47"/>
    <cellStyle name="Normal 8 2" xfId="92"/>
    <cellStyle name="Normal 8 3" xfId="207"/>
    <cellStyle name="Normal 9" xfId="103"/>
    <cellStyle name="Normal 9 2" xfId="208"/>
    <cellStyle name="Normal_Template for Summary budgets Generic - draft 1 - 4 mar 08" xfId="6"/>
    <cellStyle name="Note 2" xfId="191"/>
    <cellStyle name="Note 2 2" xfId="192"/>
    <cellStyle name="Note 2 2 2" xfId="193"/>
    <cellStyle name="Note 2 3" xfId="194"/>
    <cellStyle name="Output" xfId="8" builtinId="21"/>
    <cellStyle name="Output 2" xfId="195"/>
    <cellStyle name="Percent" xfId="7" builtinId="5"/>
    <cellStyle name="Percent 2" xfId="10"/>
    <cellStyle name="Percent 3" xfId="196"/>
    <cellStyle name="Percent 4" xfId="113"/>
    <cellStyle name="Title 2" xfId="197"/>
    <cellStyle name="Total 2" xfId="198"/>
    <cellStyle name="Warning Text 2" xfId="199"/>
  </cellStyles>
  <dxfs count="140">
    <dxf>
      <fill>
        <patternFill>
          <bgColor rgb="FFFF0000"/>
        </patternFill>
      </fill>
    </dxf>
    <dxf>
      <fill>
        <patternFill>
          <bgColor rgb="FFFF0000"/>
        </patternFill>
      </fill>
    </dxf>
    <dxf>
      <fill>
        <patternFill>
          <bgColor rgb="FFFF0000"/>
        </patternFill>
      </fill>
    </dxf>
    <dxf>
      <fill>
        <patternFill>
          <bgColor rgb="FFFF0000"/>
        </patternFill>
      </fill>
    </dxf>
    <dxf>
      <numFmt numFmtId="183" formatCode="[$€-2]\ #,##0.00;[Red]\-[$€-2]\ #,##0.00"/>
    </dxf>
    <dxf>
      <numFmt numFmtId="183" formatCode="[$€-2]\ #,##0.00;[Red]\-[$€-2]\ #,##0.00"/>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numFmt numFmtId="183" formatCode="[$€-2]\ #,##0.00;[Red]\-[$€-2]\ #,##0.00"/>
    </dxf>
    <dxf>
      <numFmt numFmtId="183" formatCode="[$€-2]\ #,##0.00;[Red]\-[$€-2]\ #,##0.00"/>
    </dxf>
    <dxf>
      <numFmt numFmtId="183" formatCode="[$€-2]\ #,##0.00;[Red]\-[$€-2]\ #,##0.00"/>
    </dxf>
    <dxf>
      <numFmt numFmtId="183" formatCode="[$€-2]\ #,##0.00;[Red]\-[$€-2]\ #,##0.00"/>
    </dxf>
    <dxf>
      <numFmt numFmtId="183" formatCode="[$€-2]\ #,##0.00;[Red]\-[$€-2]\ #,##0.00"/>
    </dxf>
    <dxf>
      <numFmt numFmtId="183" formatCode="[$€-2]\ #,##0.00;[Red]\-[$€-2]\ #,##0.00"/>
    </dxf>
    <dxf>
      <numFmt numFmtId="183" formatCode="[$€-2]\ #,##0.00;[Red]\-[$€-2]\ #,##0.00"/>
    </dxf>
    <dxf>
      <font>
        <color theme="0" tint="-0.24994659260841701"/>
      </font>
      <fill>
        <patternFill>
          <bgColor theme="0" tint="-0.24994659260841701"/>
        </patternFill>
      </fill>
    </dxf>
    <dxf>
      <font>
        <color rgb="FF9C0006"/>
      </font>
      <fill>
        <patternFill>
          <bgColor rgb="FFFFC7CE"/>
        </patternFill>
      </fill>
    </dxf>
    <dxf>
      <font>
        <color theme="0" tint="-0.24994659260841701"/>
      </font>
      <fill>
        <patternFill>
          <bgColor theme="0" tint="-0.24994659260841701"/>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0" tint="-0.24994659260841701"/>
      </font>
      <fill>
        <patternFill>
          <bgColor theme="0" tint="-0.24994659260841701"/>
        </patternFill>
      </fill>
    </dxf>
    <dxf>
      <fill>
        <patternFill>
          <bgColor rgb="FFFF0000"/>
        </patternFill>
      </fill>
    </dxf>
    <dxf>
      <fill>
        <patternFill>
          <bgColor rgb="FFFF0000"/>
        </patternFill>
      </fill>
    </dxf>
    <dxf>
      <font>
        <color theme="0" tint="-0.24994659260841701"/>
      </font>
      <fill>
        <patternFill>
          <bgColor theme="0" tint="-0.24994659260841701"/>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numFmt numFmtId="184" formatCode="[$€-2]\ #,##0;[Red]\-[$€-2]\ #,##0"/>
    </dxf>
    <dxf>
      <numFmt numFmtId="184" formatCode="[$€-2]\ #,##0;[Red]\-[$€-2]\ #,##0"/>
    </dxf>
    <dxf>
      <numFmt numFmtId="184" formatCode="[$€-2]\ #,##0;[Red]\-[$€-2]\ #,##0"/>
    </dxf>
    <dxf>
      <numFmt numFmtId="184" formatCode="[$€-2]\ #,##0;[Red]\-[$€-2]\ #,##0"/>
    </dxf>
    <dxf>
      <numFmt numFmtId="184" formatCode="[$€-2]\ #,##0;[Red]\-[$€-2]\ #,##0"/>
    </dxf>
    <dxf>
      <numFmt numFmtId="184" formatCode="[$€-2]\ #,##0;[Red]\-[$€-2]\ #,##0"/>
    </dxf>
    <dxf>
      <fill>
        <patternFill>
          <bgColor rgb="FFFF0000"/>
        </patternFill>
      </fill>
    </dxf>
    <dxf>
      <fill>
        <patternFill>
          <bgColor rgb="FFFF0000"/>
        </patternFill>
      </fill>
    </dxf>
    <dxf>
      <border outline="0">
        <left style="hair">
          <color theme="8"/>
        </left>
      </border>
    </dxf>
    <dxf>
      <border diagonalUp="0" diagonalDown="0" outline="0">
        <left style="hair">
          <color theme="8"/>
        </left>
        <right style="hair">
          <color theme="8"/>
        </right>
        <top style="hair">
          <color theme="8"/>
        </top>
        <bottom style="hair">
          <color theme="8"/>
        </bottom>
      </border>
    </dxf>
    <dxf>
      <border diagonalUp="0" diagonalDown="0" outline="0">
        <left style="hair">
          <color theme="8"/>
        </left>
        <right style="hair">
          <color theme="8"/>
        </right>
        <top style="hair">
          <color theme="8"/>
        </top>
        <bottom style="hair">
          <color theme="8"/>
        </bottom>
      </border>
    </dxf>
    <dxf>
      <border diagonalUp="0" diagonalDown="0" outline="0">
        <left style="hair">
          <color theme="8"/>
        </left>
        <right style="hair">
          <color theme="8"/>
        </right>
        <top style="hair">
          <color theme="8"/>
        </top>
        <bottom style="hair">
          <color theme="8"/>
        </bottom>
      </border>
    </dxf>
    <dxf>
      <border diagonalUp="0" diagonalDown="0" outline="0">
        <left style="hair">
          <color theme="8"/>
        </left>
        <right style="hair">
          <color theme="8"/>
        </right>
        <top style="hair">
          <color theme="8"/>
        </top>
        <bottom style="hair">
          <color theme="8"/>
        </bottom>
      </border>
    </dxf>
    <dxf>
      <border diagonalUp="0" diagonalDown="0" outline="0">
        <left style="hair">
          <color theme="8"/>
        </left>
        <right style="hair">
          <color theme="8"/>
        </right>
        <top style="hair">
          <color theme="8"/>
        </top>
        <bottom style="hair">
          <color theme="8"/>
        </bottom>
      </border>
    </dxf>
    <dxf>
      <border diagonalUp="0" diagonalDown="0" outline="0">
        <left style="hair">
          <color theme="8"/>
        </left>
        <right style="hair">
          <color theme="8"/>
        </right>
        <top style="hair">
          <color theme="8"/>
        </top>
        <bottom style="hair">
          <color theme="8"/>
        </bottom>
      </border>
    </dxf>
    <dxf>
      <numFmt numFmtId="30" formatCode="@"/>
      <border diagonalUp="0" diagonalDown="0" outline="0">
        <left style="hair">
          <color theme="8"/>
        </left>
        <right style="hair">
          <color theme="8"/>
        </right>
        <top style="hair">
          <color theme="8"/>
        </top>
        <bottom style="hair">
          <color theme="8"/>
        </bottom>
      </border>
    </dxf>
    <dxf>
      <numFmt numFmtId="30" formatCode="@"/>
      <border diagonalUp="0" diagonalDown="0" outline="0">
        <left style="hair">
          <color theme="8"/>
        </left>
        <right style="hair">
          <color theme="8"/>
        </right>
        <top style="hair">
          <color theme="8"/>
        </top>
        <bottom style="hair">
          <color theme="8"/>
        </bottom>
      </border>
    </dxf>
    <dxf>
      <border diagonalUp="0" diagonalDown="0" outline="0">
        <left style="hair">
          <color theme="8"/>
        </left>
        <right style="hair">
          <color theme="8"/>
        </right>
        <top style="hair">
          <color theme="8"/>
        </top>
        <bottom style="hair">
          <color theme="8"/>
        </bottom>
      </border>
    </dxf>
    <dxf>
      <border diagonalUp="0" diagonalDown="0" outline="0">
        <left style="hair">
          <color theme="8"/>
        </left>
        <right style="hair">
          <color theme="8"/>
        </right>
        <top style="hair">
          <color theme="8"/>
        </top>
        <bottom style="hair">
          <color theme="8"/>
        </bottom>
      </border>
    </dxf>
    <dxf>
      <numFmt numFmtId="30" formatCode="@"/>
    </dxf>
    <dxf>
      <border diagonalUp="0" diagonalDown="0" outline="0">
        <left style="hair">
          <color auto="1"/>
        </left>
        <right style="hair">
          <color indexed="64"/>
        </right>
        <top style="hair">
          <color auto="1"/>
        </top>
        <bottom style="hair">
          <color indexed="64"/>
        </bottom>
      </border>
    </dxf>
    <dxf>
      <border diagonalUp="0" diagonalDown="0" outline="0">
        <left style="thin">
          <color indexed="64"/>
        </left>
        <right style="thin">
          <color indexed="64"/>
        </right>
        <top/>
        <bottom/>
      </border>
    </dxf>
    <dxf>
      <numFmt numFmtId="184" formatCode="[$€-2]\ #,##0;[Red]\-[$€-2]\ #,##0"/>
    </dxf>
    <dxf>
      <numFmt numFmtId="184" formatCode="[$€-2]\ #,##0;[Red]\-[$€-2]\ #,##0"/>
    </dxf>
    <dxf>
      <numFmt numFmtId="184" formatCode="[$€-2]\ #,##0;[Red]\-[$€-2]\ #,##0"/>
    </dxf>
    <dxf>
      <numFmt numFmtId="184" formatCode="[$€-2]\ #,##0;[Red]\-[$€-2]\ #,##0"/>
    </dxf>
    <dxf>
      <numFmt numFmtId="184" formatCode="[$€-2]\ #,##0;[Red]\-[$€-2]\ #,##0"/>
    </dxf>
    <dxf>
      <numFmt numFmtId="184" formatCode="[$€-2]\ #,##0;[Red]\-[$€-2]\ #,##0"/>
    </dxf>
    <dxf>
      <numFmt numFmtId="184" formatCode="[$€-2]\ #,##0;[Red]\-[$€-2]\ #,##0"/>
    </dxf>
    <dxf>
      <numFmt numFmtId="184" formatCode="[$€-2]\ #,##0;[Red]\-[$€-2]\ #,##0"/>
    </dxf>
    <dxf>
      <numFmt numFmtId="184" formatCode="[$€-2]\ #,##0;[Red]\-[$€-2]\ #,##0"/>
    </dxf>
    <dxf>
      <numFmt numFmtId="184" formatCode="[$€-2]\ #,##0;[Red]\-[$€-2]\ #,##0"/>
    </dxf>
    <dxf>
      <numFmt numFmtId="184" formatCode="[$€-2]\ #,##0;[Red]\-[$€-2]\ #,##0"/>
    </dxf>
    <dxf>
      <numFmt numFmtId="184" formatCode="[$€-2]\ #,##0;[Red]\-[$€-2]\ #,##0"/>
    </dxf>
    <dxf>
      <numFmt numFmtId="184" formatCode="[$€-2]\ #,##0;[Red]\-[$€-2]\ #,##0"/>
    </dxf>
    <dxf>
      <numFmt numFmtId="184" formatCode="[$€-2]\ #,##0;[Red]\-[$€-2]\ #,##0"/>
    </dxf>
    <dxf>
      <numFmt numFmtId="184" formatCode="[$€-2]\ #,##0;[Red]\-[$€-2]\ #,##0"/>
    </dxf>
    <dxf>
      <numFmt numFmtId="184" formatCode="[$€-2]\ #,##0;[Red]\-[$€-2]\ #,##0"/>
    </dxf>
    <dxf>
      <numFmt numFmtId="184" formatCode="[$€-2]\ #,##0;[Red]\-[$€-2]\ #,##0"/>
    </dxf>
    <dxf>
      <numFmt numFmtId="184" formatCode="[$€-2]\ #,##0;[Red]\-[$€-2]\ #,##0"/>
    </dxf>
    <dxf>
      <numFmt numFmtId="184" formatCode="[$€-2]\ #,##0;[Red]\-[$€-2]\ #,##0"/>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rgb="FFFF0000"/>
        </patternFill>
      </fill>
    </dxf>
    <dxf>
      <fill>
        <patternFill>
          <bgColor theme="0" tint="-0.34998626667073579"/>
        </patternFill>
      </fill>
    </dxf>
    <dxf>
      <fill>
        <patternFill>
          <bgColor rgb="FFFF0000"/>
        </patternFill>
      </fill>
    </dxf>
    <dxf>
      <fill>
        <patternFill>
          <bgColor theme="0" tint="-0.34998626667073579"/>
        </patternFill>
      </fill>
    </dxf>
    <dxf>
      <fill>
        <patternFill>
          <bgColor indexed="43"/>
        </patternFill>
      </fill>
    </dxf>
    <dxf>
      <fill>
        <patternFill>
          <bgColor indexed="22"/>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2"/>
        </patternFill>
      </fill>
    </dxf>
    <dxf>
      <fill>
        <patternFill>
          <bgColor indexed="26"/>
        </patternFill>
      </fill>
    </dxf>
    <dxf>
      <font>
        <color rgb="FFC00000"/>
      </font>
    </dxf>
    <dxf>
      <font>
        <color rgb="FFC00000"/>
      </font>
    </dxf>
    <dxf>
      <font>
        <color rgb="FFC00000"/>
      </font>
      <fill>
        <patternFill patternType="solid">
          <bgColor rgb="FFDCE6F1"/>
        </patternFill>
      </fill>
    </dxf>
    <dxf>
      <font>
        <b/>
        <i val="0"/>
        <condense val="0"/>
        <extend val="0"/>
        <color indexed="10"/>
      </font>
    </dxf>
    <dxf>
      <font>
        <b val="0"/>
        <i val="0"/>
        <condense val="0"/>
        <extend val="0"/>
        <color indexed="10"/>
      </font>
    </dxf>
    <dxf>
      <font>
        <b val="0"/>
        <i val="0"/>
        <condense val="0"/>
        <extend val="0"/>
        <color indexed="10"/>
      </font>
    </dxf>
    <dxf>
      <font>
        <b/>
        <i val="0"/>
        <condense val="0"/>
        <extend val="0"/>
        <color indexed="10"/>
      </font>
    </dxf>
    <dxf>
      <font>
        <b val="0"/>
        <i val="0"/>
        <condense val="0"/>
        <extend val="0"/>
        <color indexed="10"/>
      </font>
    </dxf>
    <dxf>
      <font>
        <b/>
        <i val="0"/>
        <condense val="0"/>
        <extend val="0"/>
        <color indexed="10"/>
      </font>
    </dxf>
    <dxf>
      <numFmt numFmtId="183" formatCode="[$€-2]\ #,##0.00;[Red]\-[$€-2]\ #,##0.00"/>
    </dxf>
    <dxf>
      <font>
        <b val="0"/>
        <i val="0"/>
        <condense val="0"/>
        <extend val="0"/>
        <color indexed="10"/>
      </font>
    </dxf>
    <dxf>
      <font>
        <b/>
        <i val="0"/>
        <condense val="0"/>
        <extend val="0"/>
        <color indexed="10"/>
      </font>
    </dxf>
    <dxf>
      <font>
        <b val="0"/>
        <i val="0"/>
        <condense val="0"/>
        <extend val="0"/>
        <color indexed="10"/>
      </font>
    </dxf>
    <dxf>
      <font>
        <b/>
        <i val="0"/>
        <condense val="0"/>
        <extend val="0"/>
        <color indexed="10"/>
      </font>
    </dxf>
    <dxf>
      <numFmt numFmtId="184" formatCode="[$€-2]\ #,##0;[Red]\-[$€-2]\ #,##0"/>
    </dxf>
    <dxf>
      <numFmt numFmtId="184" formatCode="[$€-2]\ #,##0;[Red]\-[$€-2]\ #,##0"/>
    </dxf>
    <dxf>
      <numFmt numFmtId="184" formatCode="[$€-2]\ #,##0;[Red]\-[$€-2]\ #,##0"/>
    </dxf>
    <dxf>
      <numFmt numFmtId="183" formatCode="[$€-2]\ #,##0.00;[Red]\-[$€-2]\ #,##0.00"/>
    </dxf>
    <dxf>
      <numFmt numFmtId="183" formatCode="[$€-2]\ #,##0.00;[Red]\-[$€-2]\ #,##0.00"/>
    </dxf>
    <dxf>
      <numFmt numFmtId="183" formatCode="[$€-2]\ #,##0.00;[Red]\-[$€-2]\ #,##0.00"/>
    </dxf>
    <dxf>
      <numFmt numFmtId="183" formatCode="[$€-2]\ #,##0.00;[Red]\-[$€-2]\ #,##0.00"/>
    </dxf>
    <dxf>
      <numFmt numFmtId="183" formatCode="[$€-2]\ #,##0.00;[Red]\-[$€-2]\ #,##0.00"/>
    </dxf>
    <dxf>
      <fill>
        <patternFill>
          <bgColor theme="9" tint="0.59996337778862885"/>
        </patternFill>
      </fill>
    </dxf>
    <dxf>
      <fill>
        <patternFill>
          <bgColor theme="9" tint="0.59996337778862885"/>
        </patternFill>
      </fill>
    </dxf>
  </dxfs>
  <tableStyles count="0" defaultTableStyle="TableStyleMedium9" defaultPivotStyle="PivotStyleLight16"/>
  <colors>
    <mruColors>
      <color rgb="FFFFFF99"/>
      <color rgb="FF33CCCC"/>
      <color rgb="FFB0B0B0"/>
      <color rgb="FFFFFFFF"/>
      <color rgb="FF2E2E2E"/>
      <color rgb="FFD3D3D3"/>
      <color rgb="FFBCBCBC"/>
      <color rgb="FFC1F4BA"/>
      <color rgb="FFF2F2F2"/>
      <color rgb="FF19191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3.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styles" Target="styles.xml"/><Relationship Id="rId45"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image" Target="../media/image3.emf"/><Relationship Id="rId1" Type="http://schemas.openxmlformats.org/officeDocument/2006/relationships/image" Target="../media/image2.emf"/><Relationship Id="rId4"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xdr:twoCellAnchor editAs="oneCell">
    <xdr:from>
      <xdr:col>11</xdr:col>
      <xdr:colOff>762000</xdr:colOff>
      <xdr:row>0</xdr:row>
      <xdr:rowOff>136071</xdr:rowOff>
    </xdr:from>
    <xdr:to>
      <xdr:col>14</xdr:col>
      <xdr:colOff>386155</xdr:colOff>
      <xdr:row>0</xdr:row>
      <xdr:rowOff>488452</xdr:rowOff>
    </xdr:to>
    <xdr:pic>
      <xdr:nvPicPr>
        <xdr:cNvPr id="2" name="Picture 1">
          <a:extLst>
            <a:ext uri="{FF2B5EF4-FFF2-40B4-BE49-F238E27FC236}">
              <a16:creationId xmlns:a16="http://schemas.microsoft.com/office/drawing/2014/main" xmlns="" id="{00000000-0008-0000-0000-000002000000}"/>
            </a:ext>
          </a:extLst>
        </xdr:cNvPr>
        <xdr:cNvPicPr>
          <a:picLocks noChangeAspect="1"/>
        </xdr:cNvPicPr>
      </xdr:nvPicPr>
      <xdr:blipFill>
        <a:blip xmlns:r="http://schemas.openxmlformats.org/officeDocument/2006/relationships" r:embed="rId1"/>
        <a:stretch>
          <a:fillRect/>
        </a:stretch>
      </xdr:blipFill>
      <xdr:spPr>
        <a:xfrm>
          <a:off x="17730107" y="136071"/>
          <a:ext cx="2304762" cy="35238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6</xdr:col>
          <xdr:colOff>447675</xdr:colOff>
          <xdr:row>3</xdr:row>
          <xdr:rowOff>28575</xdr:rowOff>
        </xdr:to>
        <xdr:sp macro="" textlink="">
          <xdr:nvSpPr>
            <xdr:cNvPr id="60417" name="Apttus_App" hidden="1">
              <a:extLst>
                <a:ext uri="{63B3BB69-23CF-44E3-9099-C40C66FF867C}">
                  <a14:compatExt spid="_x0000_s60417"/>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561975</xdr:colOff>
          <xdr:row>3</xdr:row>
          <xdr:rowOff>28575</xdr:rowOff>
        </xdr:to>
        <xdr:sp macro="" textlink="">
          <xdr:nvSpPr>
            <xdr:cNvPr id="60418" name="Apttus_AppData" hidden="1">
              <a:extLst>
                <a:ext uri="{63B3BB69-23CF-44E3-9099-C40C66FF867C}">
                  <a14:compatExt spid="_x0000_s60418"/>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xdr:col>
          <xdr:colOff>409575</xdr:colOff>
          <xdr:row>3</xdr:row>
          <xdr:rowOff>28575</xdr:rowOff>
        </xdr:to>
        <xdr:sp macro="" textlink="">
          <xdr:nvSpPr>
            <xdr:cNvPr id="60419" name="Apttus_AppDataTracker" hidden="1">
              <a:extLst>
                <a:ext uri="{63B3BB69-23CF-44E3-9099-C40C66FF867C}">
                  <a14:compatExt spid="_x0000_s60419"/>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xdr:col>
          <xdr:colOff>342900</xdr:colOff>
          <xdr:row>3</xdr:row>
          <xdr:rowOff>28575</xdr:rowOff>
        </xdr:to>
        <xdr:sp macro="" textlink="">
          <xdr:nvSpPr>
            <xdr:cNvPr id="60420" name="Apttus_DataProtection" hidden="1">
              <a:extLst>
                <a:ext uri="{63B3BB69-23CF-44E3-9099-C40C66FF867C}">
                  <a14:compatExt spid="_x0000_s6042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prodmeteorfs.gf.theglobalfund.org\UserDesktops\Users\jntreh\AppData\Local\Microsoft\Windows\Temporary%20Internet%20Files\Content.Outlook\N94QXR0L\HP_Board%20Approved_2014Q2_Final%20validated.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prodmeteorfs.gf.theglobalfund.org\UserDesktops\Users\aabouatme\AppData\Local\Microsoft\Windows\Temporary%20Internet%20Files\Content.IE5\W0OJ3YPY\Core_PUDR_Form_en.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prodmeteorfs.gf.theglobalfund.org\UserDesktops\Users\chenneuse\AppData\Local\Microsoft\Windows\Temporary%20Internet%20Files\Content.Outlook\LX8CLMNA\Malaria_Financial%20Reporting%20Template_Jun10.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prodmeteorfs.gf.theglobalfund.org\UserDesktops\Users\chenneuse\AppData\Local\Microsoft\Windows\Temporary%20Internet%20Files\Content.Outlook\LX8CLMNA\TB_Financial%20Reporting%20Template_Jun1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prodmeteorfs.gf.theglobalfund.org\UserDesktops\Contracts\Cost%20and%20Pricing\Final%20Budgets\Global%20Fund\Mali\2014.05%20NFM%20Submission\GF%20Mali%20Phase%201%20&amp;%202%20NFM%20internal%20hybrid_2014.07.1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prodmeteorfs.gf.theglobalfund.org\UserDesktops\obocoum\Desktop\AIM\Quarterly%20Financial%20report16_MAR_16%20(2).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gf\afaye\Desktop\MALI_Global%20Fund%20Budget%20Template%202014-07-11-revised%20by%20PS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gf\DKapodistria\Desktop\PUDR%20template%20v2.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prodmeteorfs.gf.theglobalfund.org\UserDocuments\Taxes\Taxes%20Collection%20Test%202%20.xlsm"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Users\Aabouatme\AppData\Local\Microsoft\Windows\Temporary%20Internet%20Files\Content.Outlook\ZIELDH0I\Financial%20Reports_May%202016_AIM%20(2).xlsm"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gf\afaye\Desktop\Desktop%20Files%2017042012\SLE%20Summary%20Budget%20Phase%20%202%20Malaria_270111.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prodmeteorfs.gf.theglobalfund.org\UserDesktops\Users\adas\AppData\Local\Microsoft\Windows\Temporary%20Internet%20Files\Content.Outlook\0O09I2GP\Master%20data%20in%20Perf%20Fwk%20Budget%20PSM%20(except%20PSM%20specific)%202015-06-03%2017h.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oard approved (delta)"/>
      <sheetName val="Funding Approved GFS"/>
      <sheetName val="866DE43A3B1D483C9DB27C716352610"/>
      <sheetName val="Bf3p1"/>
      <sheetName val="Check_BA"/>
      <sheetName val="Check_BA (2)"/>
      <sheetName val="Waterfall_Before"/>
      <sheetName val="Load_BA"/>
      <sheetName val="Load_adHoc"/>
      <sheetName val="Load_Transfer"/>
      <sheetName val="Load_Transfer (2)"/>
      <sheetName val="Waterfall_After"/>
      <sheetName val="Nigeria"/>
      <sheetName val="Review BA 2014Q2"/>
      <sheetName val="ADJUST-&gt;"/>
      <sheetName val="GID_29697_Phase1"/>
      <sheetName val="GID_29697_Phase2"/>
      <sheetName val="GID_100006_IMPP1"/>
      <sheetName val="GID_579_RCC2"/>
      <sheetName val="PHL_DTB"/>
      <sheetName val="Sheet11"/>
      <sheetName val="Sheet11 (3)"/>
      <sheetName val="Sheet11 (2)"/>
      <sheetName val="Currency Cod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
      <sheetName val="PR_Grant Management_2"/>
      <sheetName val="PR_Total PR Cash Outflow_3A"/>
      <sheetName val="EFR Malaria Financial Data_3B"/>
      <sheetName val="EFR TB Financial Data_3B"/>
      <sheetName val="EFR HIV AIDS Financial Data_3B"/>
      <sheetName val="PR_Procurement Info_4"/>
      <sheetName val="PR_Cash Reconciliation_5A"/>
      <sheetName val="PR_Disbursement Request_5B"/>
      <sheetName val="PR_Overall Performance_6"/>
      <sheetName val="PR_Cash Request_7A&amp;B"/>
      <sheetName val="PR_Bank Details_7C"/>
      <sheetName val="PR_Annex_SR-Financials"/>
      <sheetName val="Checklist"/>
      <sheetName val="LFA_Programmatic Progress_1A"/>
      <sheetName val="LFA_Programmatic Progress_1B"/>
      <sheetName val="LFA_Grant Management_2"/>
      <sheetName val="LFA_Total PR Cash Outflow_3A"/>
      <sheetName val="LFA_EFR Review_3B"/>
      <sheetName val="LFA_Procurement Info_4"/>
      <sheetName val="LFA_Findings&amp;Recommendations"/>
      <sheetName val="LFA_Cash Reconciliation_5A"/>
      <sheetName val="LFA_Disbursement Recommend_5B"/>
      <sheetName val="Sheet1"/>
      <sheetName val="LFA_Overall Performance_6"/>
      <sheetName val="LFA_DisbursementRecommendation7"/>
      <sheetName val="LFA_Bank Details_7C"/>
      <sheetName val="LFA_Annex-SR Financials"/>
      <sheetName val="Annex for additional info"/>
      <sheetName val="Memo HIV"/>
      <sheetName val="Memo TB"/>
      <sheetName val="Memo Malaria"/>
      <sheetName val="Definitions-lists-EFR"/>
      <sheetName val="Sheet2"/>
      <sheetName val="PR_Programmatic Progress_1A"/>
      <sheetName val="PR_Programmatic Progress_1B"/>
      <sheetName val="Links"/>
    </sheetNames>
    <sheetDataSet>
      <sheetData sheetId="0"/>
      <sheetData sheetId="1">
        <row r="12">
          <cell r="D12" t="str">
            <v>Select</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ow r="2">
          <cell r="A2" t="str">
            <v>Please select…</v>
          </cell>
        </row>
      </sheetData>
      <sheetData sheetId="28">
        <row r="2">
          <cell r="A2" t="str">
            <v>Please select…</v>
          </cell>
        </row>
      </sheetData>
      <sheetData sheetId="29">
        <row r="2">
          <cell r="A2" t="str">
            <v>Please select…</v>
          </cell>
        </row>
        <row r="3">
          <cell r="A3" t="str">
            <v>Prevention: Behavioral Change Communication - Mass media</v>
          </cell>
        </row>
        <row r="4">
          <cell r="A4" t="str">
            <v>Prevention: Behavioral Change Communication - community outreach</v>
          </cell>
        </row>
        <row r="5">
          <cell r="A5" t="str">
            <v>Prevention: Condom distribution</v>
          </cell>
        </row>
        <row r="6">
          <cell r="A6" t="str">
            <v xml:space="preserve">Prevention: Counseling and Testing </v>
          </cell>
        </row>
        <row r="7">
          <cell r="A7" t="str">
            <v>Prevention: PMTCT</v>
          </cell>
        </row>
        <row r="8">
          <cell r="A8" t="str">
            <v>Prevention: Post-exposure prophylaxis (PEP)</v>
          </cell>
        </row>
        <row r="9">
          <cell r="A9" t="str">
            <v>Prevention: STI diagnosis and treatment</v>
          </cell>
        </row>
        <row r="10">
          <cell r="A10" t="str">
            <v>Prevention: Blood safety and universal precaution</v>
          </cell>
        </row>
        <row r="11">
          <cell r="A11" t="str">
            <v>Treatment: Antiretroviral treatment (ARV) and monitoring</v>
          </cell>
        </row>
        <row r="12">
          <cell r="A12" t="str">
            <v>Treatment: Prophylaxis and treatment for opportunistic infections</v>
          </cell>
        </row>
        <row r="13">
          <cell r="A13" t="str">
            <v>Care and support: Care and support for the chronically ill</v>
          </cell>
        </row>
        <row r="14">
          <cell r="A14" t="str">
            <v>Care and support: Support for orphans and vulnerable children</v>
          </cell>
        </row>
        <row r="15">
          <cell r="A15" t="str">
            <v xml:space="preserve">TB/HIV collaborative activities: HIV care and support for HIV-positive TB patients </v>
          </cell>
        </row>
        <row r="16">
          <cell r="A16" t="str">
            <v>Supportive environment: Policy development including workplace policy</v>
          </cell>
        </row>
        <row r="17">
          <cell r="A17" t="str">
            <v xml:space="preserve">Supportive environment: Strengthening of civil society and institutional capacity building </v>
          </cell>
        </row>
        <row r="18">
          <cell r="A18" t="str">
            <v>Supportive environment: Stigma reduction in all settings</v>
          </cell>
        </row>
        <row r="19">
          <cell r="A19" t="str">
            <v>Supportive environment: Program management and administration</v>
          </cell>
        </row>
        <row r="20">
          <cell r="A20" t="str">
            <v>HSS: Service delivery</v>
          </cell>
        </row>
        <row r="21">
          <cell r="A21" t="str">
            <v>HSS: Human resources</v>
          </cell>
        </row>
        <row r="22">
          <cell r="A22" t="str">
            <v>HSS: Community Systems Strengthening</v>
          </cell>
        </row>
        <row r="23">
          <cell r="A23" t="str">
            <v>HSS: Information system &amp; Operational research</v>
          </cell>
        </row>
        <row r="24">
          <cell r="A24" t="str">
            <v>HSS: Infrastructure</v>
          </cell>
        </row>
        <row r="25">
          <cell r="A25" t="str">
            <v>HSS: Procurement and Supply management</v>
          </cell>
        </row>
        <row r="26">
          <cell r="A26" t="str">
            <v>HSS: Other, specify</v>
          </cell>
        </row>
      </sheetData>
      <sheetData sheetId="30"/>
      <sheetData sheetId="31"/>
      <sheetData sheetId="32"/>
      <sheetData sheetId="33"/>
      <sheetData sheetId="34"/>
      <sheetData sheetId="35"/>
      <sheetData sheetId="36"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LARIA_Financial Data"/>
      <sheetName val="Definitions"/>
      <sheetName val="Annex 1"/>
      <sheetName val="Annex 2"/>
      <sheetName val="Annex 3"/>
      <sheetName val="PR_Grant Management_2"/>
    </sheetNames>
    <sheetDataSet>
      <sheetData sheetId="0">
        <row r="28">
          <cell r="C28" t="str">
            <v>Please select…</v>
          </cell>
        </row>
      </sheetData>
      <sheetData sheetId="1">
        <row r="28">
          <cell r="C28" t="str">
            <v>Please select…</v>
          </cell>
        </row>
        <row r="29">
          <cell r="C29" t="str">
            <v>Prevention: Behavioral Change Communication - Mass Media</v>
          </cell>
        </row>
        <row r="30">
          <cell r="C30" t="str">
            <v>Prevention: Behavioral Change Communication - Community Outreach</v>
          </cell>
        </row>
        <row r="31">
          <cell r="C31" t="str">
            <v>Prevention: Insecticide-treated nets (ITNs)</v>
          </cell>
        </row>
        <row r="32">
          <cell r="C32" t="str">
            <v>Prevention: Malaria in pregnancy</v>
          </cell>
        </row>
        <row r="33">
          <cell r="C33" t="str">
            <v>Prevention: Vector control (other than ITNs)</v>
          </cell>
        </row>
        <row r="34">
          <cell r="C34" t="str">
            <v>Prevention: other - specify</v>
          </cell>
        </row>
        <row r="35">
          <cell r="C35" t="str">
            <v>Treatment: Prompt, effective antimalarial treatment</v>
          </cell>
        </row>
        <row r="36">
          <cell r="C36" t="str">
            <v>Treatment: Home-based management of malaria</v>
          </cell>
        </row>
        <row r="37">
          <cell r="C37" t="str">
            <v>Treatment: Diagnosis</v>
          </cell>
        </row>
        <row r="38">
          <cell r="C38" t="str">
            <v>Treatment: other - specify</v>
          </cell>
        </row>
        <row r="39">
          <cell r="C39" t="str">
            <v>Supportive Environment: Monitoring drug resistance</v>
          </cell>
        </row>
        <row r="40">
          <cell r="C40" t="str">
            <v>Supportive environment: Monitoring insecticide resistance</v>
          </cell>
        </row>
        <row r="41">
          <cell r="C41" t="str">
            <v>Supportive Environment: Coordination and partnership development (national, community, public-private)</v>
          </cell>
        </row>
        <row r="42">
          <cell r="C42" t="str">
            <v>Supportive environment: other - specify</v>
          </cell>
        </row>
        <row r="43">
          <cell r="C43" t="str">
            <v>Supportive environment: Program management and administration</v>
          </cell>
        </row>
        <row r="44">
          <cell r="C44" t="str">
            <v>HSS: Service delivery</v>
          </cell>
        </row>
        <row r="45">
          <cell r="C45" t="str">
            <v>HSS: Human resources</v>
          </cell>
        </row>
        <row r="46">
          <cell r="C46" t="str">
            <v>HSS: Community Systems Strengthening</v>
          </cell>
        </row>
        <row r="47">
          <cell r="C47" t="str">
            <v>HSS: Information system &amp; Operational research</v>
          </cell>
        </row>
        <row r="48">
          <cell r="C48" t="str">
            <v>HSS: Infrastructure</v>
          </cell>
        </row>
        <row r="49">
          <cell r="C49" t="str">
            <v>HSS: Procurement and Supply management</v>
          </cell>
        </row>
        <row r="50">
          <cell r="C50" t="str">
            <v>HSS: other - specify</v>
          </cell>
        </row>
      </sheetData>
      <sheetData sheetId="2"/>
      <sheetData sheetId="3"/>
      <sheetData sheetId="4"/>
      <sheetData sheetId="5"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B_Financial Data"/>
      <sheetName val="Definitions"/>
      <sheetName val="Annex 1"/>
      <sheetName val="Annex 2"/>
      <sheetName val="Annex 3"/>
      <sheetName val="GSU-form#018rev2014"/>
    </sheetNames>
    <sheetDataSet>
      <sheetData sheetId="0"/>
      <sheetData sheetId="1">
        <row r="39">
          <cell r="C39" t="str">
            <v>Please select…</v>
          </cell>
        </row>
        <row r="40">
          <cell r="C40" t="str">
            <v>Improving diagnosis</v>
          </cell>
        </row>
        <row r="41">
          <cell r="C41" t="str">
            <v>Standardized treatment, patient support and patient charter</v>
          </cell>
        </row>
        <row r="42">
          <cell r="C42" t="str">
            <v>Procurement and Supply management</v>
          </cell>
        </row>
        <row r="43">
          <cell r="C43" t="str">
            <v>M&amp;E</v>
          </cell>
        </row>
        <row r="44">
          <cell r="C44" t="str">
            <v>TB/HIV</v>
          </cell>
        </row>
        <row r="45">
          <cell r="C45" t="str">
            <v>MDR-TB</v>
          </cell>
        </row>
        <row r="46">
          <cell r="C46" t="str">
            <v>High-risk groups</v>
          </cell>
        </row>
        <row r="47">
          <cell r="C47" t="str">
            <v>HSS (beyond TB)</v>
          </cell>
        </row>
        <row r="48">
          <cell r="C48" t="str">
            <v>PAL (Practical Approach to Lung Health)</v>
          </cell>
        </row>
        <row r="49">
          <cell r="C49" t="str">
            <v>PPM / ISTC (Public-Public, Public-Private Mix (PPM) approaches and International standards for TB care)</v>
          </cell>
        </row>
        <row r="50">
          <cell r="C50" t="str">
            <v>ACSM (Advocacy, communication and social mobilization)</v>
          </cell>
        </row>
        <row r="51">
          <cell r="C51" t="str">
            <v>Community TB care</v>
          </cell>
        </row>
        <row r="52">
          <cell r="C52" t="str">
            <v>Programme-based operational research</v>
          </cell>
        </row>
        <row r="53">
          <cell r="C53" t="str">
            <v>Other - specify</v>
          </cell>
        </row>
        <row r="54">
          <cell r="C54" t="str">
            <v>Supportive environment: Program management and administration</v>
          </cell>
        </row>
      </sheetData>
      <sheetData sheetId="2"/>
      <sheetData sheetId="3"/>
      <sheetData sheetId="4"/>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Range Page Information"/>
      <sheetName val="GF-Definitions"/>
      <sheetName val="GF-Instructions"/>
      <sheetName val="Interventions"/>
      <sheetName val="CostInputs"/>
      <sheetName val="CostGroupings"/>
      <sheetName val="Range Page"/>
      <sheetName val="GF-Cover"/>
      <sheetName val="GF-Recipients"/>
      <sheetName val="GF Objectives"/>
      <sheetName val="GF-Assumptions"/>
      <sheetName val="Assumptions-HR"/>
      <sheetName val="Detailed Assumptions"/>
      <sheetName val="Assumptions-Standard Unit Rate"/>
      <sheetName val="OLD Detailed Assumptions"/>
      <sheetName val="Sum of Old Detailed"/>
      <sheetName val="GF Module Interventions"/>
      <sheetName val="GF-Detailed Budget"/>
      <sheetName val="GF-Incremental"/>
      <sheetName val="GF-Summary Budget"/>
      <sheetName val="Summary Cost Inputs"/>
      <sheetName val="Setup"/>
      <sheetName val="NFM Detailed Budget"/>
      <sheetName val="NFM Budget Summary"/>
      <sheetName val="NFM QTR Summary"/>
      <sheetName val="PSI Summary by Year"/>
      <sheetName val="PSI Summary by Intervention"/>
      <sheetName val="ICR Summary"/>
      <sheetName val="PSI Int Detailed Roll-up"/>
      <sheetName val="START PSI---&gt;"/>
      <sheetName val="PSI Int A - routine"/>
      <sheetName val="PSI Int B - mass"/>
      <sheetName val="PSI Int C"/>
      <sheetName val="PSI Int D"/>
      <sheetName val="PSI Int E"/>
      <sheetName val="PSI Int F"/>
      <sheetName val="PSI Int G"/>
      <sheetName val="PSI Int H"/>
      <sheetName val="PSI Int I"/>
      <sheetName val="PSI Int J"/>
      <sheetName val="PSI Int K"/>
      <sheetName val="PSI Int L"/>
      <sheetName val="PSI Int M"/>
      <sheetName val="PSI Int N"/>
      <sheetName val="PSI Int O"/>
      <sheetName val="PSI Int P"/>
      <sheetName val="PSI Int Q"/>
      <sheetName val="PSI Int R"/>
      <sheetName val="---&gt;END PSI"/>
      <sheetName val="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38">
          <cell r="A38">
            <v>7.0000000000000007E-2</v>
          </cell>
        </row>
        <row r="39">
          <cell r="A39">
            <v>0.03</v>
          </cell>
        </row>
        <row r="47">
          <cell r="A47">
            <v>0.77148300000000003</v>
          </cell>
        </row>
        <row r="48">
          <cell r="A48">
            <v>655.95699999999999</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sh Balance Reporting"/>
      <sheetName val="Results - CB Form"/>
      <sheetName val="Expenditure Reporting - NFM "/>
      <sheetName val="Expenditure Reporting-Non NFM "/>
      <sheetName val="Tax Reporting"/>
      <sheetName val="Results -Tax Form"/>
      <sheetName val="Annex 1"/>
      <sheetName val="Annex 2"/>
      <sheetName val="EFR"/>
      <sheetName val="AFR"/>
      <sheetName val="Principal Recipient"/>
      <sheetName val="PR_Q1"/>
      <sheetName val="TGF Regions"/>
      <sheetName val="Grants"/>
      <sheetName val="16 MAR"/>
      <sheetName val="Lists"/>
      <sheetName val="Local Currencies"/>
    </sheetNames>
    <sheetDataSet>
      <sheetData sheetId="0"/>
      <sheetData sheetId="1" refreshError="1"/>
      <sheetData sheetId="2" refreshError="1"/>
      <sheetData sheetId="3" refreshError="1"/>
      <sheetData sheetId="4"/>
      <sheetData sheetId="5" refreshError="1"/>
      <sheetData sheetId="6" refreshError="1"/>
      <sheetData sheetId="7" refreshError="1"/>
      <sheetData sheetId="8">
        <row r="5">
          <cell r="C5" t="str">
            <v>Please Select…</v>
          </cell>
        </row>
      </sheetData>
      <sheetData sheetId="9" refreshError="1"/>
      <sheetData sheetId="10" refreshError="1"/>
      <sheetData sheetId="11" refreshError="1"/>
      <sheetData sheetId="12" refreshError="1"/>
      <sheetData sheetId="13"/>
      <sheetData sheetId="14" refreshError="1"/>
      <sheetData sheetId="15">
        <row r="3">
          <cell r="E3">
            <v>42460</v>
          </cell>
          <cell r="G3" t="str">
            <v>Abubakar Ibrahim</v>
          </cell>
        </row>
        <row r="4">
          <cell r="E4">
            <v>42551</v>
          </cell>
          <cell r="G4" t="str">
            <v>Afiefah Osman</v>
          </cell>
        </row>
        <row r="5">
          <cell r="E5">
            <v>42643</v>
          </cell>
          <cell r="G5" t="str">
            <v>Alex Andwati</v>
          </cell>
        </row>
        <row r="6">
          <cell r="E6">
            <v>42735</v>
          </cell>
          <cell r="G6" t="str">
            <v>Alexander Birikorang</v>
          </cell>
        </row>
        <row r="7">
          <cell r="G7" t="str">
            <v>Allan Nfamba</v>
          </cell>
        </row>
        <row r="8">
          <cell r="G8" t="str">
            <v>Andrew Kawuma</v>
          </cell>
        </row>
        <row r="9">
          <cell r="G9" t="str">
            <v>Anna Kruhavets</v>
          </cell>
        </row>
        <row r="10">
          <cell r="G10" t="str">
            <v>Boglarka Laza</v>
          </cell>
        </row>
        <row r="11">
          <cell r="A11" t="str">
            <v>VAT Goods &amp; Services</v>
          </cell>
          <cell r="G11" t="str">
            <v>Charles Ohene-Nyako</v>
          </cell>
        </row>
        <row r="12">
          <cell r="A12" t="str">
            <v>Import Duties</v>
          </cell>
          <cell r="G12" t="str">
            <v xml:space="preserve">Eduardo Camardelli </v>
          </cell>
        </row>
        <row r="13">
          <cell r="A13" t="str">
            <v>Both</v>
          </cell>
          <cell r="G13" t="str">
            <v>Edwin Lottin</v>
          </cell>
        </row>
        <row r="14">
          <cell r="A14" t="str">
            <v>No Exemption</v>
          </cell>
          <cell r="G14" t="str">
            <v>Emmanuel Eneme</v>
          </cell>
        </row>
        <row r="15">
          <cell r="G15" t="str">
            <v>Eric Boa</v>
          </cell>
        </row>
        <row r="16">
          <cell r="G16" t="str">
            <v>Foster Mphinga</v>
          </cell>
        </row>
        <row r="17">
          <cell r="G17" t="str">
            <v xml:space="preserve">Hao Lu </v>
          </cell>
        </row>
        <row r="18">
          <cell r="G18" t="str">
            <v>Inna Ivanova</v>
          </cell>
        </row>
        <row r="19">
          <cell r="G19" t="str">
            <v xml:space="preserve">Jaime Briz De Felipe </v>
          </cell>
        </row>
        <row r="20">
          <cell r="G20" t="str">
            <v>Joseph Ntreh</v>
          </cell>
        </row>
        <row r="21">
          <cell r="G21" t="str">
            <v>Joy Mukete</v>
          </cell>
        </row>
        <row r="22">
          <cell r="G22" t="str">
            <v>Kamran Abbas</v>
          </cell>
        </row>
        <row r="23">
          <cell r="G23" t="str">
            <v xml:space="preserve">Kanini Waita </v>
          </cell>
        </row>
        <row r="24">
          <cell r="G24" t="str">
            <v>Karima Jaouadi</v>
          </cell>
        </row>
        <row r="25">
          <cell r="G25" t="str">
            <v>Kasi Nsubuga</v>
          </cell>
        </row>
        <row r="26">
          <cell r="G26" t="str">
            <v>Kerstin Stange</v>
          </cell>
        </row>
        <row r="27">
          <cell r="G27" t="str">
            <v>Lamin N'jai</v>
          </cell>
        </row>
        <row r="28">
          <cell r="G28" t="str">
            <v>Lena Semenyuk</v>
          </cell>
        </row>
        <row r="29">
          <cell r="G29" t="str">
            <v>Maria Asuncion</v>
          </cell>
        </row>
        <row r="30">
          <cell r="G30" t="str">
            <v>Mario Rivero</v>
          </cell>
        </row>
        <row r="31">
          <cell r="G31" t="str">
            <v>Mark Taylor</v>
          </cell>
        </row>
        <row r="32">
          <cell r="G32" t="str">
            <v>Mark Warrillow-Thomson</v>
          </cell>
        </row>
        <row r="33">
          <cell r="G33" t="str">
            <v>Natalia Derkach</v>
          </cell>
        </row>
        <row r="34">
          <cell r="G34" t="str">
            <v>Pascal Sandapa</v>
          </cell>
        </row>
        <row r="35">
          <cell r="G35" t="str">
            <v>Patricia Lubwana</v>
          </cell>
        </row>
        <row r="36">
          <cell r="G36" t="str">
            <v>Quentin De Hemptinne</v>
          </cell>
        </row>
        <row r="37">
          <cell r="G37" t="str">
            <v>Renaud Bolly</v>
          </cell>
        </row>
        <row r="38">
          <cell r="G38" t="str">
            <v>Ryan Narciso</v>
          </cell>
        </row>
        <row r="39">
          <cell r="G39" t="str">
            <v>Sabyrzhan Berkembayev</v>
          </cell>
        </row>
        <row r="40">
          <cell r="G40" t="str">
            <v>Samuel Boateng</v>
          </cell>
        </row>
        <row r="41">
          <cell r="G41" t="str">
            <v>Sandrine Odoh</v>
          </cell>
        </row>
        <row r="42">
          <cell r="G42" t="str">
            <v>Sergey Polovinkin</v>
          </cell>
        </row>
        <row r="43">
          <cell r="G43" t="str">
            <v>Shevone Corbin</v>
          </cell>
        </row>
        <row r="44">
          <cell r="G44" t="str">
            <v>Sunny Park</v>
          </cell>
        </row>
        <row r="45">
          <cell r="G45" t="str">
            <v>Walid Kilani</v>
          </cell>
        </row>
        <row r="46">
          <cell r="G46" t="str">
            <v>Yeo Yenemanyan</v>
          </cell>
        </row>
      </sheetData>
      <sheetData sheetId="1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Setup"/>
      <sheetName val="Detailed Budget"/>
      <sheetName val="Assumptions TRC"/>
      <sheetName val="Assumptions HR"/>
      <sheetName val="Assumptions Other"/>
      <sheetName val="Budget Summary"/>
      <sheetName val="Rank unique Mod-Int-PR"/>
      <sheetName val="Concept Note Module Budget"/>
      <sheetName val="Country"/>
      <sheetName val="Recipient"/>
      <sheetName val="Currencies"/>
      <sheetName val="Assumptions"/>
      <sheetName val="CatCmp"/>
      <sheetName val="CatModules"/>
      <sheetName val="ModInCmp"/>
      <sheetName val="CatInt"/>
      <sheetName val="Budget Lines"/>
      <sheetName val="ActivityConcat"/>
      <sheetName val="Translations"/>
      <sheetName val="CostGroup"/>
      <sheetName val="Cost Inputs"/>
      <sheetName val="Sheet2"/>
    </sheetNames>
    <sheetDataSet>
      <sheetData sheetId="0" refreshError="1"/>
      <sheetData sheetId="1">
        <row r="4">
          <cell r="B4" t="str">
            <v>Malaria</v>
          </cell>
        </row>
        <row r="10">
          <cell r="B10" t="str">
            <v>EUR</v>
          </cell>
        </row>
        <row r="11">
          <cell r="B11" t="str">
            <v>XOF</v>
          </cell>
        </row>
        <row r="12">
          <cell r="B12" t="str">
            <v>USD</v>
          </cell>
        </row>
      </sheetData>
      <sheetData sheetId="2">
        <row r="2">
          <cell r="S2">
            <v>46</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1">
          <cell r="A1" t="str">
            <v>CatModRowNbr</v>
          </cell>
        </row>
        <row r="2">
          <cell r="A2" t="str">
            <v>Detailed workings</v>
          </cell>
        </row>
        <row r="3">
          <cell r="A3" t="str">
            <v>Historical cost</v>
          </cell>
        </row>
        <row r="4">
          <cell r="A4" t="str">
            <v>Quote from supplier</v>
          </cell>
        </row>
        <row r="5">
          <cell r="A5" t="str">
            <v>Recent invoice</v>
          </cell>
        </row>
        <row r="6">
          <cell r="A6" t="str">
            <v>PSM Products &amp; Costs</v>
          </cell>
        </row>
      </sheetData>
      <sheetData sheetId="13">
        <row r="1">
          <cell r="C1" t="str">
            <v>Label</v>
          </cell>
          <cell r="D1" t="str">
            <v>Component en</v>
          </cell>
          <cell r="E1" t="str">
            <v>Component fr</v>
          </cell>
          <cell r="F1" t="str">
            <v>Component es</v>
          </cell>
          <cell r="G1" t="str">
            <v>Component ru</v>
          </cell>
          <cell r="H1" t="str">
            <v>Cost Input</v>
          </cell>
        </row>
        <row r="2">
          <cell r="C2" t="str">
            <v>HIV/AIDS</v>
          </cell>
          <cell r="D2" t="str">
            <v>HIV/AIDS</v>
          </cell>
          <cell r="E2" t="str">
            <v>VIH/SIDA</v>
          </cell>
          <cell r="F2" t="str">
            <v>VIH/SIDA</v>
          </cell>
          <cell r="G2" t="str">
            <v>ВИЧ/СПИД</v>
          </cell>
          <cell r="H2">
            <v>0</v>
          </cell>
        </row>
        <row r="3">
          <cell r="C3" t="str">
            <v>Tuberculosis</v>
          </cell>
          <cell r="D3" t="str">
            <v>Tuberculosis</v>
          </cell>
          <cell r="E3" t="str">
            <v>Tuberculose</v>
          </cell>
          <cell r="F3" t="str">
            <v>Tuberculosis</v>
          </cell>
          <cell r="G3" t="str">
            <v>Туберкулез</v>
          </cell>
          <cell r="H3">
            <v>1</v>
          </cell>
        </row>
        <row r="4">
          <cell r="C4" t="str">
            <v>Malaria</v>
          </cell>
          <cell r="D4" t="str">
            <v>Malaria</v>
          </cell>
          <cell r="E4" t="str">
            <v>Paludisme</v>
          </cell>
          <cell r="F4" t="str">
            <v>Malaria</v>
          </cell>
          <cell r="G4" t="str">
            <v>Малярия</v>
          </cell>
          <cell r="H4">
            <v>2</v>
          </cell>
        </row>
        <row r="5">
          <cell r="C5" t="str">
            <v>HIV/TB</v>
          </cell>
          <cell r="D5" t="str">
            <v>HIV/TB</v>
          </cell>
          <cell r="E5" t="str">
            <v>VIH/TB</v>
          </cell>
          <cell r="F5" t="str">
            <v>VIH/TB</v>
          </cell>
          <cell r="G5" t="str">
            <v>ВИЧ/TБ</v>
          </cell>
          <cell r="H5">
            <v>3</v>
          </cell>
        </row>
        <row r="6">
          <cell r="C6" t="str">
            <v>HSS</v>
          </cell>
          <cell r="D6" t="str">
            <v>HSS</v>
          </cell>
          <cell r="E6" t="str">
            <v>RSS</v>
          </cell>
          <cell r="F6" t="str">
            <v>FSS</v>
          </cell>
          <cell r="G6" t="str">
            <v>УСЗ</v>
          </cell>
          <cell r="H6">
            <v>4</v>
          </cell>
        </row>
      </sheetData>
      <sheetData sheetId="14"/>
      <sheetData sheetId="15">
        <row r="1">
          <cell r="A1" t="str">
            <v>CatModRowNbr</v>
          </cell>
        </row>
        <row r="2">
          <cell r="A2">
            <v>13</v>
          </cell>
          <cell r="C2" t="str">
            <v>Vector control</v>
          </cell>
        </row>
        <row r="3">
          <cell r="A3">
            <v>14</v>
          </cell>
        </row>
        <row r="4">
          <cell r="A4">
            <v>15</v>
          </cell>
        </row>
        <row r="5">
          <cell r="A5">
            <v>16</v>
          </cell>
        </row>
        <row r="6">
          <cell r="A6">
            <v>17</v>
          </cell>
        </row>
        <row r="7">
          <cell r="A7">
            <v>18</v>
          </cell>
        </row>
        <row r="8">
          <cell r="A8">
            <v>19</v>
          </cell>
        </row>
        <row r="9">
          <cell r="A9">
            <v>20</v>
          </cell>
        </row>
        <row r="10">
          <cell r="A10">
            <v>21</v>
          </cell>
        </row>
        <row r="11">
          <cell r="A11">
            <v>22</v>
          </cell>
        </row>
        <row r="12">
          <cell r="A12">
            <v>23</v>
          </cell>
        </row>
        <row r="13">
          <cell r="A13">
            <v>24</v>
          </cell>
        </row>
        <row r="14">
          <cell r="A14">
            <v>25</v>
          </cell>
        </row>
        <row r="15">
          <cell r="A15">
            <v>26</v>
          </cell>
        </row>
        <row r="16">
          <cell r="A16">
            <v>27</v>
          </cell>
        </row>
        <row r="17">
          <cell r="A17" t="str">
            <v/>
          </cell>
        </row>
        <row r="18">
          <cell r="A18" t="str">
            <v/>
          </cell>
        </row>
        <row r="19">
          <cell r="A19" t="str">
            <v/>
          </cell>
        </row>
        <row r="20">
          <cell r="A20" t="str">
            <v/>
          </cell>
        </row>
        <row r="21">
          <cell r="A21" t="str">
            <v/>
          </cell>
        </row>
        <row r="22">
          <cell r="A22" t="str">
            <v/>
          </cell>
        </row>
        <row r="23">
          <cell r="A23" t="str">
            <v/>
          </cell>
        </row>
        <row r="24">
          <cell r="A24" t="str">
            <v/>
          </cell>
        </row>
        <row r="25">
          <cell r="A25" t="str">
            <v/>
          </cell>
        </row>
        <row r="26">
          <cell r="A26" t="str">
            <v/>
          </cell>
        </row>
        <row r="27">
          <cell r="A27" t="str">
            <v/>
          </cell>
        </row>
        <row r="28">
          <cell r="A28" t="str">
            <v/>
          </cell>
        </row>
        <row r="29">
          <cell r="A29" t="str">
            <v/>
          </cell>
        </row>
        <row r="30">
          <cell r="A30" t="str">
            <v/>
          </cell>
        </row>
        <row r="31">
          <cell r="A31" t="str">
            <v/>
          </cell>
        </row>
        <row r="32">
          <cell r="A32" t="str">
            <v/>
          </cell>
        </row>
        <row r="33">
          <cell r="A33" t="str">
            <v/>
          </cell>
        </row>
        <row r="34">
          <cell r="A34" t="str">
            <v/>
          </cell>
        </row>
        <row r="35">
          <cell r="A35" t="str">
            <v/>
          </cell>
        </row>
        <row r="36">
          <cell r="A36" t="str">
            <v/>
          </cell>
        </row>
        <row r="37">
          <cell r="A37" t="str">
            <v/>
          </cell>
        </row>
        <row r="38">
          <cell r="A38" t="str">
            <v/>
          </cell>
        </row>
        <row r="39">
          <cell r="A39" t="str">
            <v/>
          </cell>
        </row>
        <row r="40">
          <cell r="A40" t="str">
            <v/>
          </cell>
        </row>
        <row r="41">
          <cell r="A41" t="str">
            <v/>
          </cell>
        </row>
        <row r="42">
          <cell r="A42" t="str">
            <v/>
          </cell>
        </row>
        <row r="43">
          <cell r="A43" t="str">
            <v/>
          </cell>
        </row>
        <row r="44">
          <cell r="A44" t="str">
            <v/>
          </cell>
        </row>
        <row r="45">
          <cell r="A45" t="str">
            <v/>
          </cell>
        </row>
        <row r="46">
          <cell r="A46" t="str">
            <v/>
          </cell>
        </row>
        <row r="47">
          <cell r="A47" t="str">
            <v/>
          </cell>
        </row>
        <row r="48">
          <cell r="A48" t="str">
            <v/>
          </cell>
        </row>
        <row r="49">
          <cell r="A49" t="str">
            <v/>
          </cell>
        </row>
        <row r="50">
          <cell r="A50" t="str">
            <v/>
          </cell>
        </row>
      </sheetData>
      <sheetData sheetId="16">
        <row r="1">
          <cell r="C1">
            <v>0</v>
          </cell>
        </row>
      </sheetData>
      <sheetData sheetId="17">
        <row r="2">
          <cell r="J2" t="str">
            <v>PSI</v>
          </cell>
        </row>
        <row r="3">
          <cell r="J3" t="str">
            <v>PNLP</v>
          </cell>
        </row>
        <row r="4">
          <cell r="J4" t="str">
            <v>MRTC</v>
          </cell>
        </row>
        <row r="5">
          <cell r="J5" t="str">
            <v/>
          </cell>
        </row>
        <row r="6">
          <cell r="J6" t="str">
            <v/>
          </cell>
        </row>
        <row r="7">
          <cell r="J7" t="str">
            <v/>
          </cell>
        </row>
        <row r="8">
          <cell r="J8" t="str">
            <v/>
          </cell>
        </row>
        <row r="9">
          <cell r="J9" t="str">
            <v/>
          </cell>
        </row>
        <row r="10">
          <cell r="J10" t="str">
            <v/>
          </cell>
        </row>
        <row r="11">
          <cell r="J11" t="str">
            <v/>
          </cell>
        </row>
        <row r="12">
          <cell r="J12" t="str">
            <v/>
          </cell>
        </row>
        <row r="13">
          <cell r="J13" t="str">
            <v/>
          </cell>
        </row>
        <row r="14">
          <cell r="J14" t="str">
            <v/>
          </cell>
        </row>
        <row r="15">
          <cell r="J15" t="str">
            <v/>
          </cell>
        </row>
        <row r="16">
          <cell r="J16" t="str">
            <v/>
          </cell>
        </row>
        <row r="17">
          <cell r="J17" t="str">
            <v/>
          </cell>
        </row>
        <row r="18">
          <cell r="J18" t="str">
            <v/>
          </cell>
        </row>
        <row r="19">
          <cell r="J19" t="str">
            <v/>
          </cell>
        </row>
        <row r="20">
          <cell r="J20" t="str">
            <v/>
          </cell>
        </row>
      </sheetData>
      <sheetData sheetId="18" refreshError="1"/>
      <sheetData sheetId="19">
        <row r="1">
          <cell r="A1" t="str">
            <v>ID</v>
          </cell>
        </row>
      </sheetData>
      <sheetData sheetId="20">
        <row r="1">
          <cell r="A1" t="str">
            <v>ID</v>
          </cell>
        </row>
      </sheetData>
      <sheetData sheetId="21">
        <row r="1">
          <cell r="A1" t="str">
            <v>ID</v>
          </cell>
        </row>
        <row r="2">
          <cell r="S2">
            <v>46</v>
          </cell>
        </row>
        <row r="3">
          <cell r="N3" t="str">
            <v>1.1 Salaries - program management</v>
          </cell>
        </row>
      </sheetData>
      <sheetData sheetId="2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
      <sheetName val="PR_Programmatic Progress_1A"/>
      <sheetName val="PR Programmatic Progress 1C"/>
      <sheetName val="PR_Grant Management_2"/>
      <sheetName val="PR_Total PR Cash Outflow_3A"/>
      <sheetName val="EFR Malaria Financial Data_3B"/>
      <sheetName val="EFR TB Financial Data_3B"/>
      <sheetName val="EFR HIV AIDS Financial Data_3B"/>
      <sheetName val="PR_Procurement Info_4"/>
      <sheetName val="PR_Cash Reconciliation_5A"/>
      <sheetName val="PR_Disbursement Request_5B"/>
      <sheetName val="PR_Overall Performance_6"/>
      <sheetName val="PR_Cash Request_7A&amp;B"/>
      <sheetName val="PR_Bank Details_7C"/>
      <sheetName val="PR_Annex_SR-Financials"/>
      <sheetName val="Checklist"/>
      <sheetName val="LFA Programmatic Progress 1C"/>
      <sheetName val="LFA_Grant Management_2"/>
      <sheetName val="LFA_Total PR Cash Outflow_3A"/>
      <sheetName val="LFA_EFR Review_3B"/>
      <sheetName val="LFA_Procurement Info_4"/>
      <sheetName val="LFA_Findings&amp;Recommendations"/>
      <sheetName val="LFA_Cash Reconciliation_5A"/>
      <sheetName val="LFA_Disbursement Recommend_5B"/>
      <sheetName val="Sheet1"/>
      <sheetName val="LFA_Overall Performance_6"/>
      <sheetName val="LFA_DisbursementRecommendation7"/>
      <sheetName val="LFA_Bank Details_7C"/>
      <sheetName val="LFA_Annex-SR Financials"/>
      <sheetName val="Sheet3"/>
      <sheetName val="Annex for additional info"/>
      <sheetName val="Memo HIV"/>
      <sheetName val="Memo TB"/>
      <sheetName val="Memo Malaria"/>
      <sheetName val="Definitions-lists-EFR"/>
      <sheetName val="Sheet2"/>
      <sheetName val="PR RFR_7"/>
    </sheetNames>
    <sheetDataSet>
      <sheetData sheetId="0" refreshError="1"/>
      <sheetData sheetId="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ow r="2">
          <cell r="A2" t="str">
            <v>please select…</v>
          </cell>
        </row>
        <row r="3">
          <cell r="A3" t="str">
            <v>Prevention:  Behavioral Change Communication - Mass media</v>
          </cell>
        </row>
        <row r="4">
          <cell r="A4" t="str">
            <v>Prevention:  Behavioral Change Communication - community outreach</v>
          </cell>
        </row>
        <row r="5">
          <cell r="A5" t="str">
            <v>Prevention: Insecticide-treated nets (ITNs)</v>
          </cell>
        </row>
        <row r="6">
          <cell r="A6" t="str">
            <v>Prevention: Malaria prevention during pregnancy</v>
          </cell>
        </row>
        <row r="7">
          <cell r="A7" t="str">
            <v>Prevention: Vector control (other than ITNs)</v>
          </cell>
        </row>
        <row r="8">
          <cell r="A8" t="str">
            <v>Prevention: other - specify</v>
          </cell>
        </row>
        <row r="9">
          <cell r="A9" t="str">
            <v>Treatment: Prompt, effective anti-malarial treatment</v>
          </cell>
        </row>
        <row r="10">
          <cell r="A10" t="str">
            <v>Treatment: Home based management of malaria</v>
          </cell>
        </row>
        <row r="11">
          <cell r="A11" t="str">
            <v>Treatment: Diagnosis</v>
          </cell>
        </row>
        <row r="12">
          <cell r="A12" t="str">
            <v>Treatment: other - specify</v>
          </cell>
        </row>
        <row r="13">
          <cell r="A13" t="str">
            <v>Supportive environment: Monitoring drug resistance</v>
          </cell>
        </row>
        <row r="14">
          <cell r="A14" t="str">
            <v>Supportive environment: Monitoring insecticide resistance</v>
          </cell>
        </row>
        <row r="15">
          <cell r="A15" t="str">
            <v>Supportive environment: Coordination and partnership development (national, community, public-private)</v>
          </cell>
        </row>
        <row r="16">
          <cell r="A16" t="str">
            <v>Supportive environment: other - specify</v>
          </cell>
        </row>
        <row r="17">
          <cell r="A17" t="str">
            <v>Supportive environment: Program management and administration</v>
          </cell>
        </row>
        <row r="18">
          <cell r="A18" t="str">
            <v>HSS: Service delivery</v>
          </cell>
        </row>
        <row r="19">
          <cell r="A19" t="str">
            <v>HSS: Human resources</v>
          </cell>
        </row>
        <row r="20">
          <cell r="A20" t="str">
            <v>HSS: Community Systems Strengthening</v>
          </cell>
        </row>
        <row r="21">
          <cell r="A21" t="str">
            <v>HSS: Information system &amp; Operational research</v>
          </cell>
        </row>
        <row r="22">
          <cell r="A22" t="str">
            <v>HSS: Infrastructure</v>
          </cell>
        </row>
        <row r="23">
          <cell r="A23" t="str">
            <v>HSS: Procurement and Supply management</v>
          </cell>
        </row>
        <row r="24">
          <cell r="A24" t="str">
            <v>HSS: other - specify</v>
          </cell>
        </row>
      </sheetData>
      <sheetData sheetId="34">
        <row r="21">
          <cell r="A21" t="str">
            <v>Please Select…</v>
          </cell>
        </row>
        <row r="22">
          <cell r="A22" t="str">
            <v>Prevention</v>
          </cell>
        </row>
        <row r="23">
          <cell r="A23" t="str">
            <v>Treatment</v>
          </cell>
        </row>
        <row r="24">
          <cell r="A24" t="str">
            <v>Supportive Environment</v>
          </cell>
        </row>
        <row r="25">
          <cell r="A25" t="str">
            <v>Health System Strengthening (HSS)</v>
          </cell>
        </row>
        <row r="58">
          <cell r="A58" t="str">
            <v>Please Select…</v>
          </cell>
        </row>
        <row r="59">
          <cell r="A59" t="str">
            <v>FBO</v>
          </cell>
        </row>
        <row r="60">
          <cell r="A60" t="str">
            <v>NGO/CBO/Academic</v>
          </cell>
        </row>
        <row r="61">
          <cell r="A61" t="str">
            <v>Private Sector</v>
          </cell>
        </row>
        <row r="62">
          <cell r="A62" t="str">
            <v>Ministry Health (MoH)</v>
          </cell>
        </row>
        <row r="63">
          <cell r="A63" t="str">
            <v>Other Government</v>
          </cell>
        </row>
        <row r="64">
          <cell r="A64" t="str">
            <v>UNDP</v>
          </cell>
        </row>
        <row r="65">
          <cell r="A65" t="str">
            <v>Other Multilateral Organization</v>
          </cell>
        </row>
      </sheetData>
      <sheetData sheetId="35" refreshError="1"/>
      <sheetData sheetId="3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Input"/>
      <sheetName val="Results"/>
      <sheetName val="Country"/>
      <sheetName val="Grant"/>
      <sheetName val="Coverage Indicators_1B"/>
      <sheetName val="Impact Outcome Indicators_1A"/>
    </sheetNames>
    <sheetDataSet>
      <sheetData sheetId="0">
        <row r="2">
          <cell r="B2" t="str">
            <v>AFG-011-G12-T</v>
          </cell>
          <cell r="C2" t="str">
            <v>Financial Closure</v>
          </cell>
          <cell r="D2" t="str">
            <v>South East Asia</v>
          </cell>
          <cell r="E2" t="str">
            <v>AFG</v>
          </cell>
          <cell r="F2" t="str">
            <v>Japan International Cooperation Agency in Afghanistan</v>
          </cell>
        </row>
        <row r="3">
          <cell r="B3" t="str">
            <v>AFG-012-G13-T</v>
          </cell>
          <cell r="C3" t="str">
            <v>Administratively Closed</v>
          </cell>
          <cell r="D3" t="str">
            <v>South East Asia</v>
          </cell>
          <cell r="E3" t="str">
            <v>AFG</v>
          </cell>
          <cell r="F3" t="str">
            <v>Ministry of Public Health of Afghanistan</v>
          </cell>
        </row>
        <row r="4">
          <cell r="B4" t="str">
            <v>AFG-202-G01-I-00</v>
          </cell>
          <cell r="C4" t="str">
            <v>Administratively Closed</v>
          </cell>
          <cell r="D4" t="str">
            <v>South East Asia</v>
          </cell>
          <cell r="E4" t="str">
            <v>AFG</v>
          </cell>
          <cell r="F4" t="str">
            <v>Ministry of Public Health of Afghanistan</v>
          </cell>
        </row>
        <row r="5">
          <cell r="B5" t="str">
            <v>AFG-405-G02-T</v>
          </cell>
          <cell r="C5" t="str">
            <v>Administratively Closed</v>
          </cell>
          <cell r="D5" t="str">
            <v>South East Asia</v>
          </cell>
          <cell r="E5" t="str">
            <v>AFG</v>
          </cell>
          <cell r="F5" t="str">
            <v>Ministry of Public Health of Afghanistan</v>
          </cell>
        </row>
        <row r="6">
          <cell r="B6" t="str">
            <v>AFG-506-G03-M</v>
          </cell>
          <cell r="C6" t="str">
            <v>Financial Closure</v>
          </cell>
          <cell r="D6" t="str">
            <v>South East Asia</v>
          </cell>
          <cell r="E6" t="str">
            <v>AFG</v>
          </cell>
          <cell r="F6" t="str">
            <v>Ministry of Public Health of Afghanistan</v>
          </cell>
        </row>
        <row r="7">
          <cell r="B7" t="str">
            <v>AFG-509-G06-M</v>
          </cell>
          <cell r="C7" t="str">
            <v>Administratively Closed</v>
          </cell>
          <cell r="D7" t="str">
            <v>South East Asia</v>
          </cell>
          <cell r="E7" t="str">
            <v>AFG</v>
          </cell>
          <cell r="F7" t="str">
            <v>HealthNet TPO</v>
          </cell>
        </row>
        <row r="8">
          <cell r="B8" t="str">
            <v>AFG-708-G04-H</v>
          </cell>
          <cell r="C8" t="str">
            <v>Active</v>
          </cell>
          <cell r="D8" t="str">
            <v>South East Asia</v>
          </cell>
          <cell r="E8" t="str">
            <v>AFG</v>
          </cell>
          <cell r="F8" t="str">
            <v>Ministry of Public Health of Afghanistan</v>
          </cell>
        </row>
        <row r="9">
          <cell r="B9" t="str">
            <v>AFG-708-G05-H</v>
          </cell>
          <cell r="C9" t="str">
            <v>Active</v>
          </cell>
          <cell r="D9" t="str">
            <v>South East Asia</v>
          </cell>
          <cell r="E9" t="str">
            <v>AFG</v>
          </cell>
          <cell r="F9" t="str">
            <v>German Technical Cooperation GTZ-IS</v>
          </cell>
        </row>
        <row r="10">
          <cell r="B10" t="str">
            <v>AFG-809-G07-T</v>
          </cell>
          <cell r="C10" t="str">
            <v>Active</v>
          </cell>
          <cell r="D10" t="str">
            <v>South East Asia</v>
          </cell>
          <cell r="E10" t="str">
            <v>AFG</v>
          </cell>
          <cell r="F10" t="str">
            <v>Bangladesh Rural Advancement Committee, Afghanistan</v>
          </cell>
        </row>
        <row r="11">
          <cell r="B11" t="str">
            <v>AFG-809-G08-M</v>
          </cell>
          <cell r="C11" t="str">
            <v>Administratively Closed</v>
          </cell>
          <cell r="D11" t="str">
            <v>South East Asia</v>
          </cell>
          <cell r="E11" t="str">
            <v>AFG</v>
          </cell>
          <cell r="F11" t="str">
            <v>Ministry of Public Health of Afghanistan</v>
          </cell>
        </row>
        <row r="12">
          <cell r="B12" t="str">
            <v>AFG-809-G09-M</v>
          </cell>
          <cell r="C12" t="str">
            <v>Active</v>
          </cell>
          <cell r="D12" t="str">
            <v>South East Asia</v>
          </cell>
          <cell r="E12" t="str">
            <v>AFG</v>
          </cell>
          <cell r="F12" t="str">
            <v>HealthNet TPO</v>
          </cell>
        </row>
        <row r="13">
          <cell r="B13" t="str">
            <v>AFG-809-G10-M</v>
          </cell>
          <cell r="C13" t="str">
            <v>Active</v>
          </cell>
          <cell r="D13" t="str">
            <v>South East Asia</v>
          </cell>
          <cell r="E13" t="str">
            <v>AFG</v>
          </cell>
          <cell r="F13" t="str">
            <v>Bangladesh Rural Advancement Committee, Afghanistan</v>
          </cell>
        </row>
        <row r="14">
          <cell r="B14" t="str">
            <v>AFG-812-G14-M</v>
          </cell>
          <cell r="C14" t="str">
            <v>Active</v>
          </cell>
          <cell r="D14" t="str">
            <v>South East Asia</v>
          </cell>
          <cell r="E14" t="str">
            <v>AFG</v>
          </cell>
          <cell r="F14" t="str">
            <v>Ministry of Public Health of Afghanistan</v>
          </cell>
        </row>
        <row r="15">
          <cell r="B15" t="str">
            <v>AFG-S-MOPH</v>
          </cell>
          <cell r="C15" t="str">
            <v>Active</v>
          </cell>
          <cell r="D15" t="str">
            <v>South East Asia</v>
          </cell>
          <cell r="E15" t="str">
            <v>AFG</v>
          </cell>
          <cell r="F15" t="str">
            <v>Ministry of Public Health of Afghanistan</v>
          </cell>
        </row>
        <row r="16">
          <cell r="B16" t="str">
            <v>AFG-S-UNDP</v>
          </cell>
          <cell r="C16" t="str">
            <v>N.D.</v>
          </cell>
          <cell r="D16" t="str">
            <v>South East Asia</v>
          </cell>
          <cell r="E16" t="str">
            <v>AFG</v>
          </cell>
          <cell r="F16" t="str">
            <v>Not Defined</v>
          </cell>
        </row>
        <row r="17">
          <cell r="B17" t="str">
            <v>AFG-T-MOPH</v>
          </cell>
          <cell r="C17" t="str">
            <v>N.D.</v>
          </cell>
          <cell r="D17" t="str">
            <v>South East Asia</v>
          </cell>
          <cell r="E17" t="str">
            <v>AFG</v>
          </cell>
          <cell r="F17" t="str">
            <v>Not Defined</v>
          </cell>
        </row>
        <row r="18">
          <cell r="B18" t="str">
            <v>AFG-T-UNDP</v>
          </cell>
          <cell r="C18" t="str">
            <v>N.D.</v>
          </cell>
          <cell r="D18" t="str">
            <v>South East Asia</v>
          </cell>
          <cell r="E18" t="str">
            <v>AFG</v>
          </cell>
          <cell r="F18" t="str">
            <v>Not Defined</v>
          </cell>
        </row>
        <row r="19">
          <cell r="B19" t="str">
            <v>ALB-506-G01-H</v>
          </cell>
          <cell r="C19" t="str">
            <v>Active</v>
          </cell>
          <cell r="D19" t="str">
            <v>Eastern Europe and Central Asia</v>
          </cell>
          <cell r="E19" t="str">
            <v>ALB</v>
          </cell>
          <cell r="F19" t="str">
            <v>Institute of Public Health, Ministry of Health in Albania</v>
          </cell>
        </row>
        <row r="20">
          <cell r="B20" t="str">
            <v>ALB-506-G02-T</v>
          </cell>
          <cell r="C20" t="str">
            <v>Administratively Closed</v>
          </cell>
          <cell r="D20" t="str">
            <v>Eastern Europe and Central Asia</v>
          </cell>
          <cell r="E20" t="str">
            <v>ALB</v>
          </cell>
          <cell r="F20" t="str">
            <v>Institute of Public Health, Ministry of Health in Albania</v>
          </cell>
        </row>
        <row r="21">
          <cell r="B21" t="str">
            <v>DZA-304-G01-H</v>
          </cell>
          <cell r="C21" t="str">
            <v>Administratively Closed</v>
          </cell>
          <cell r="D21" t="str">
            <v>Middle East and North Africa</v>
          </cell>
          <cell r="E21" t="str">
            <v>DZA</v>
          </cell>
          <cell r="F21" t="str">
            <v>Ministry of Health, Population and Hospital Reform of Algeria</v>
          </cell>
        </row>
        <row r="22">
          <cell r="B22" t="str">
            <v>AGO-305-G01-M</v>
          </cell>
          <cell r="C22" t="str">
            <v>Financial Closure</v>
          </cell>
          <cell r="D22" t="str">
            <v>Southern and Eastern Africa</v>
          </cell>
          <cell r="E22" t="str">
            <v>AGO</v>
          </cell>
          <cell r="F22" t="str">
            <v>United Nations Development Programme, Angola</v>
          </cell>
        </row>
        <row r="23">
          <cell r="B23" t="str">
            <v>AGO-405-G02-T</v>
          </cell>
          <cell r="C23" t="str">
            <v>Financially Closed</v>
          </cell>
          <cell r="D23" t="str">
            <v>Southern and Eastern Africa</v>
          </cell>
          <cell r="E23" t="str">
            <v>AGO</v>
          </cell>
          <cell r="F23" t="str">
            <v>United Nations Development Programme, Angola</v>
          </cell>
        </row>
        <row r="24">
          <cell r="B24" t="str">
            <v>AGO-405-G03-H</v>
          </cell>
          <cell r="C24" t="str">
            <v>Active</v>
          </cell>
          <cell r="D24" t="str">
            <v>Southern and Eastern Africa</v>
          </cell>
          <cell r="E24" t="str">
            <v>AGO</v>
          </cell>
          <cell r="F24" t="str">
            <v>United Nations Development Programme, Angola</v>
          </cell>
        </row>
        <row r="25">
          <cell r="B25" t="str">
            <v>AGO-708-G04-M</v>
          </cell>
          <cell r="C25" t="str">
            <v>Financially Closed</v>
          </cell>
          <cell r="D25" t="str">
            <v>Southern and Eastern Africa</v>
          </cell>
          <cell r="E25" t="str">
            <v>AGO</v>
          </cell>
          <cell r="F25" t="str">
            <v>Ministry of Health of Angola</v>
          </cell>
        </row>
        <row r="26">
          <cell r="B26" t="str">
            <v>AGO-911-G05-T</v>
          </cell>
          <cell r="C26" t="str">
            <v>Active</v>
          </cell>
          <cell r="D26" t="str">
            <v>Southern and Eastern Africa</v>
          </cell>
          <cell r="E26" t="str">
            <v>AGO</v>
          </cell>
          <cell r="F26" t="str">
            <v>Ministry of Health of Angola</v>
          </cell>
        </row>
        <row r="27">
          <cell r="B27" t="str">
            <v>AGO-M-MOH</v>
          </cell>
          <cell r="C27" t="str">
            <v>Active</v>
          </cell>
          <cell r="D27" t="str">
            <v>Southern and Eastern Africa</v>
          </cell>
          <cell r="E27" t="str">
            <v>AGO</v>
          </cell>
          <cell r="F27" t="str">
            <v>Ministry of Health of Angola</v>
          </cell>
        </row>
        <row r="28">
          <cell r="B28" t="str">
            <v>ARG-011-G03-H</v>
          </cell>
          <cell r="C28" t="str">
            <v>Financial Closure</v>
          </cell>
          <cell r="D28" t="str">
            <v>Latin America and Caribbean</v>
          </cell>
          <cell r="E28" t="str">
            <v>ARG</v>
          </cell>
          <cell r="F28" t="str">
            <v>UBATEC S.A.</v>
          </cell>
        </row>
        <row r="29">
          <cell r="B29" t="str">
            <v>ARG-102-G01-H-00</v>
          </cell>
          <cell r="C29" t="str">
            <v>Administratively Closed</v>
          </cell>
          <cell r="D29" t="str">
            <v>Latin America and Caribbean</v>
          </cell>
          <cell r="E29" t="str">
            <v>ARG</v>
          </cell>
          <cell r="F29" t="str">
            <v>United Nations Development Programme, Argentina</v>
          </cell>
        </row>
        <row r="30">
          <cell r="B30" t="str">
            <v>ARG-102-G02-H-00</v>
          </cell>
          <cell r="C30" t="str">
            <v>Administratively Closed</v>
          </cell>
          <cell r="D30" t="str">
            <v>Latin America and Caribbean</v>
          </cell>
          <cell r="E30" t="str">
            <v>ARG</v>
          </cell>
          <cell r="F30" t="str">
            <v>UBATEC S.A.</v>
          </cell>
        </row>
        <row r="31">
          <cell r="B31" t="str">
            <v>ARM-202-G01-H-00</v>
          </cell>
          <cell r="C31" t="str">
            <v>Administratively Closed</v>
          </cell>
          <cell r="D31" t="str">
            <v>Eastern Europe and Central Asia</v>
          </cell>
          <cell r="E31" t="str">
            <v>ARM</v>
          </cell>
          <cell r="F31" t="str">
            <v>World Vision Armenia</v>
          </cell>
        </row>
        <row r="32">
          <cell r="B32" t="str">
            <v>ARM-202-G05-H-00</v>
          </cell>
          <cell r="C32" t="str">
            <v>Active</v>
          </cell>
          <cell r="D32" t="str">
            <v>Eastern Europe and Central Asia</v>
          </cell>
          <cell r="E32" t="str">
            <v>ARM</v>
          </cell>
          <cell r="F32" t="str">
            <v>Ministry of Health of Armenia</v>
          </cell>
        </row>
        <row r="33">
          <cell r="B33" t="str">
            <v>ARM-202-G06-H-00</v>
          </cell>
          <cell r="C33" t="str">
            <v>Active</v>
          </cell>
          <cell r="D33" t="str">
            <v>Eastern Europe and Central Asia</v>
          </cell>
          <cell r="E33" t="str">
            <v>ARM</v>
          </cell>
          <cell r="F33" t="str">
            <v>Mission East</v>
          </cell>
        </row>
        <row r="34">
          <cell r="B34" t="str">
            <v>ARM-506-G02-T</v>
          </cell>
          <cell r="C34" t="str">
            <v>Administratively Closed</v>
          </cell>
          <cell r="D34" t="str">
            <v>Eastern Europe and Central Asia</v>
          </cell>
          <cell r="E34" t="str">
            <v>ARM</v>
          </cell>
          <cell r="F34" t="str">
            <v>Ministry of Health of Armenia</v>
          </cell>
        </row>
        <row r="35">
          <cell r="B35" t="str">
            <v>ARM-809-G03-T</v>
          </cell>
          <cell r="C35" t="str">
            <v>Administratively Closed</v>
          </cell>
          <cell r="D35" t="str">
            <v>Eastern Europe and Central Asia</v>
          </cell>
          <cell r="E35" t="str">
            <v>ARM</v>
          </cell>
          <cell r="F35" t="str">
            <v>Ministry of Health of Armenia</v>
          </cell>
        </row>
        <row r="36">
          <cell r="B36" t="str">
            <v>ARM-809-G04-S</v>
          </cell>
          <cell r="C36" t="str">
            <v>Active</v>
          </cell>
          <cell r="D36" t="str">
            <v>Eastern Europe and Central Asia</v>
          </cell>
          <cell r="E36" t="str">
            <v>ARM</v>
          </cell>
          <cell r="F36" t="str">
            <v>Ministry of Health of Armenia</v>
          </cell>
        </row>
        <row r="37">
          <cell r="B37" t="str">
            <v>ARM-T-MOH</v>
          </cell>
          <cell r="C37" t="str">
            <v>Active</v>
          </cell>
          <cell r="D37" t="str">
            <v>Eastern Europe and Central Asia</v>
          </cell>
          <cell r="E37" t="str">
            <v>ARM</v>
          </cell>
          <cell r="F37" t="str">
            <v>Ministry of Health of Armenia</v>
          </cell>
        </row>
        <row r="38">
          <cell r="B38" t="str">
            <v>AZE-405-G01-H</v>
          </cell>
          <cell r="C38" t="str">
            <v>Administratively Closed</v>
          </cell>
          <cell r="D38" t="str">
            <v>Eastern Europe and Central Asia</v>
          </cell>
          <cell r="E38" t="str">
            <v>AZE</v>
          </cell>
          <cell r="F38" t="str">
            <v>Ministry of Health of Azerbaijan</v>
          </cell>
        </row>
        <row r="39">
          <cell r="B39" t="str">
            <v>AZE-506-G02-T</v>
          </cell>
          <cell r="C39" t="str">
            <v>Administratively Closed</v>
          </cell>
          <cell r="D39" t="str">
            <v>Eastern Europe and Central Asia</v>
          </cell>
          <cell r="E39" t="str">
            <v>AZE</v>
          </cell>
          <cell r="F39" t="str">
            <v>Ministry of Health of Azerbaijan</v>
          </cell>
        </row>
        <row r="40">
          <cell r="B40" t="str">
            <v>AZE-708-G03-T</v>
          </cell>
          <cell r="C40" t="str">
            <v>Active</v>
          </cell>
          <cell r="D40" t="str">
            <v>Eastern Europe and Central Asia</v>
          </cell>
          <cell r="E40" t="str">
            <v>AZE</v>
          </cell>
          <cell r="F40" t="str">
            <v>Ministry of Health of Azerbaijan</v>
          </cell>
        </row>
        <row r="41">
          <cell r="B41" t="str">
            <v>AZE-708-G04-M</v>
          </cell>
          <cell r="C41" t="str">
            <v>Administratively Closed</v>
          </cell>
          <cell r="D41" t="str">
            <v>Eastern Europe and Central Asia</v>
          </cell>
          <cell r="E41" t="str">
            <v>AZE</v>
          </cell>
          <cell r="F41" t="str">
            <v>Ministry of Health of Azerbaijan</v>
          </cell>
        </row>
        <row r="42">
          <cell r="B42" t="str">
            <v>AZE-910-G05-H</v>
          </cell>
          <cell r="C42" t="str">
            <v>Active</v>
          </cell>
          <cell r="D42" t="str">
            <v>Eastern Europe and Central Asia</v>
          </cell>
          <cell r="E42" t="str">
            <v>AZE</v>
          </cell>
          <cell r="F42" t="str">
            <v>Ministry of Health of Azerbaijan</v>
          </cell>
        </row>
        <row r="43">
          <cell r="B43" t="str">
            <v>AZE-910-G06-T</v>
          </cell>
          <cell r="C43" t="str">
            <v>Active</v>
          </cell>
          <cell r="D43" t="str">
            <v>Eastern Europe and Central Asia</v>
          </cell>
          <cell r="E43" t="str">
            <v>AZE</v>
          </cell>
          <cell r="F43" t="str">
            <v>Ministry of Justice of Azerbaijan</v>
          </cell>
        </row>
        <row r="44">
          <cell r="B44" t="str">
            <v>BAN-202-G01-H-00</v>
          </cell>
          <cell r="C44" t="str">
            <v>Administratively Closed</v>
          </cell>
          <cell r="D44" t="str">
            <v>High Impact Asia</v>
          </cell>
          <cell r="E44" t="str">
            <v>BGD</v>
          </cell>
          <cell r="F44" t="str">
            <v>Ministry of Finance of Bangladesh</v>
          </cell>
        </row>
        <row r="45">
          <cell r="B45" t="str">
            <v>BAN-202-G11-H-00</v>
          </cell>
          <cell r="C45" t="str">
            <v>Financial Closure</v>
          </cell>
          <cell r="D45" t="str">
            <v>High Impact Asia</v>
          </cell>
          <cell r="E45" t="str">
            <v>BGD</v>
          </cell>
          <cell r="F45" t="str">
            <v>Ministry of Health and Family Welfare of Bangladesh</v>
          </cell>
        </row>
        <row r="46">
          <cell r="B46" t="str">
            <v>BAN-202-G12-H-00</v>
          </cell>
          <cell r="C46" t="str">
            <v>Active</v>
          </cell>
          <cell r="D46" t="str">
            <v>High Impact Asia</v>
          </cell>
          <cell r="E46" t="str">
            <v>BGD</v>
          </cell>
          <cell r="F46" t="str">
            <v>Save the Children Federation, Inc.</v>
          </cell>
        </row>
        <row r="47">
          <cell r="B47" t="str">
            <v>BAN-202-G13-H-00</v>
          </cell>
          <cell r="C47" t="str">
            <v>Active</v>
          </cell>
          <cell r="D47" t="str">
            <v>High Impact Asia</v>
          </cell>
          <cell r="E47" t="str">
            <v>BGD</v>
          </cell>
          <cell r="F47" t="str">
            <v>International Centre for Diarrhoeal Disease Research</v>
          </cell>
        </row>
        <row r="48">
          <cell r="B48" t="str">
            <v>BAN-304-G02-T</v>
          </cell>
          <cell r="C48" t="str">
            <v>Administratively Closed</v>
          </cell>
          <cell r="D48" t="str">
            <v>High Impact Asia</v>
          </cell>
          <cell r="E48" t="str">
            <v>BGD</v>
          </cell>
          <cell r="F48" t="str">
            <v>Bangladesh Rural Advancement Committee, Bangladesh</v>
          </cell>
        </row>
        <row r="49">
          <cell r="B49" t="str">
            <v>BAN-304-G03-T</v>
          </cell>
          <cell r="C49" t="str">
            <v>Administratively Closed</v>
          </cell>
          <cell r="D49" t="str">
            <v>High Impact Asia</v>
          </cell>
          <cell r="E49" t="str">
            <v>BGD</v>
          </cell>
          <cell r="F49" t="str">
            <v>Ministry of Finance of Bangladesh</v>
          </cell>
        </row>
        <row r="50">
          <cell r="B50" t="str">
            <v>BAN-506-G04-T</v>
          </cell>
          <cell r="C50" t="str">
            <v>Administratively Closed</v>
          </cell>
          <cell r="D50" t="str">
            <v>High Impact Asia</v>
          </cell>
          <cell r="E50" t="str">
            <v>BGD</v>
          </cell>
          <cell r="F50" t="str">
            <v>Bangladesh Rural Advancement Committee, Bangladesh</v>
          </cell>
        </row>
        <row r="51">
          <cell r="B51" t="str">
            <v>BAN-506-G05-T</v>
          </cell>
          <cell r="C51" t="str">
            <v>Administratively Closed</v>
          </cell>
          <cell r="D51" t="str">
            <v>High Impact Asia</v>
          </cell>
          <cell r="E51" t="str">
            <v>BGD</v>
          </cell>
          <cell r="F51" t="str">
            <v>Ministry of Finance of Bangladesh</v>
          </cell>
        </row>
        <row r="52">
          <cell r="B52" t="str">
            <v>BAN-607-G06-M</v>
          </cell>
          <cell r="C52" t="str">
            <v>Administratively Closed</v>
          </cell>
          <cell r="D52" t="str">
            <v>High Impact Asia</v>
          </cell>
          <cell r="E52" t="str">
            <v>BGD</v>
          </cell>
          <cell r="F52" t="str">
            <v>Bangladesh Rural Advancement Committee, Bangladesh</v>
          </cell>
        </row>
        <row r="53">
          <cell r="B53" t="str">
            <v>BAN-607-G07-M</v>
          </cell>
          <cell r="C53" t="str">
            <v>Administratively Closed</v>
          </cell>
          <cell r="D53" t="str">
            <v>High Impact Asia</v>
          </cell>
          <cell r="E53" t="str">
            <v>BGD</v>
          </cell>
          <cell r="F53" t="str">
            <v>Ministry of Finance of Bangladesh</v>
          </cell>
        </row>
        <row r="54">
          <cell r="B54" t="str">
            <v>BAN-607-G08-H</v>
          </cell>
          <cell r="C54" t="str">
            <v>Administratively Closed</v>
          </cell>
          <cell r="D54" t="str">
            <v>High Impact Asia</v>
          </cell>
          <cell r="E54" t="str">
            <v>BGD</v>
          </cell>
          <cell r="F54" t="str">
            <v>Ministry of Finance of Bangladesh</v>
          </cell>
        </row>
        <row r="55">
          <cell r="B55" t="str">
            <v>BAN-809-G09-T</v>
          </cell>
          <cell r="C55" t="str">
            <v>Administratively Closed</v>
          </cell>
          <cell r="D55" t="str">
            <v>High Impact Asia</v>
          </cell>
          <cell r="E55" t="str">
            <v>BGD</v>
          </cell>
          <cell r="F55" t="str">
            <v>Ministry of Finance of Bangladesh</v>
          </cell>
        </row>
        <row r="56">
          <cell r="B56" t="str">
            <v>BAN-809-G10-T</v>
          </cell>
          <cell r="C56" t="str">
            <v>Administratively Closed</v>
          </cell>
          <cell r="D56" t="str">
            <v>High Impact Asia</v>
          </cell>
          <cell r="E56" t="str">
            <v>BGD</v>
          </cell>
          <cell r="F56" t="str">
            <v>Bangladesh Rural Advancement Committee, Bangladesh</v>
          </cell>
        </row>
        <row r="57">
          <cell r="B57" t="str">
            <v>BAN-M-BRAC</v>
          </cell>
          <cell r="C57" t="str">
            <v>Active</v>
          </cell>
          <cell r="D57" t="str">
            <v>High Impact Asia</v>
          </cell>
          <cell r="E57" t="str">
            <v>BGD</v>
          </cell>
          <cell r="F57" t="str">
            <v>Bangladesh Rural Advancement Committee, Bangladesh</v>
          </cell>
        </row>
        <row r="58">
          <cell r="B58" t="str">
            <v>BAN-M-NMCP</v>
          </cell>
          <cell r="C58" t="str">
            <v>Active</v>
          </cell>
          <cell r="D58" t="str">
            <v>High Impact Asia</v>
          </cell>
          <cell r="E58" t="str">
            <v>BGD</v>
          </cell>
          <cell r="F58" t="str">
            <v>Ministry of Finance of Bangladesh</v>
          </cell>
        </row>
        <row r="59">
          <cell r="B59" t="str">
            <v>BAN-T-BRAC</v>
          </cell>
          <cell r="C59" t="str">
            <v>Active</v>
          </cell>
          <cell r="D59" t="str">
            <v>High Impact Asia</v>
          </cell>
          <cell r="E59" t="str">
            <v>BGD</v>
          </cell>
          <cell r="F59" t="str">
            <v>Bangladesh Rural Advancement Committee, Bangladesh</v>
          </cell>
        </row>
        <row r="60">
          <cell r="B60" t="str">
            <v>BAN-T-NTP</v>
          </cell>
          <cell r="C60" t="str">
            <v>Active</v>
          </cell>
          <cell r="D60" t="str">
            <v>High Impact Asia</v>
          </cell>
          <cell r="E60" t="str">
            <v>BGD</v>
          </cell>
          <cell r="F60" t="str">
            <v>National Tuberculosis Control Program, Ministry of Health and Family Welfare of Bangladesh</v>
          </cell>
        </row>
        <row r="61">
          <cell r="B61" t="str">
            <v>BGD-M-BRAC</v>
          </cell>
          <cell r="C61" t="str">
            <v>Active</v>
          </cell>
          <cell r="D61" t="str">
            <v>High Impact Asia</v>
          </cell>
          <cell r="E61" t="str">
            <v>BGD</v>
          </cell>
          <cell r="F61" t="str">
            <v>Bangladesh Rural Advancement Committee, Bangladesh</v>
          </cell>
        </row>
        <row r="62">
          <cell r="B62" t="str">
            <v>BGD-M-NMCP</v>
          </cell>
          <cell r="C62" t="str">
            <v>Active</v>
          </cell>
          <cell r="D62" t="str">
            <v>High Impact Asia</v>
          </cell>
          <cell r="E62" t="str">
            <v>BGD</v>
          </cell>
          <cell r="F62" t="str">
            <v>National Malaria Control Program, Ministry of Health and Family Welfare of Bangladesh</v>
          </cell>
        </row>
        <row r="63">
          <cell r="B63" t="str">
            <v>BGD-T-BRAC</v>
          </cell>
          <cell r="C63" t="str">
            <v>Active</v>
          </cell>
          <cell r="D63" t="str">
            <v>High Impact Asia</v>
          </cell>
          <cell r="E63" t="str">
            <v>BGD</v>
          </cell>
          <cell r="F63" t="str">
            <v>Bangladesh Rural Advancement Committee, Bangladesh</v>
          </cell>
        </row>
        <row r="64">
          <cell r="B64" t="str">
            <v>BGD-T-NTP</v>
          </cell>
          <cell r="C64" t="str">
            <v>Active</v>
          </cell>
          <cell r="D64" t="str">
            <v>High Impact Asia</v>
          </cell>
          <cell r="E64" t="str">
            <v>BGD</v>
          </cell>
          <cell r="F64" t="str">
            <v>National Tuberculosis Control Program, Ministry of Health and Family Welfare of Bangladesh</v>
          </cell>
        </row>
        <row r="65">
          <cell r="B65" t="str">
            <v>BLR-304-G01-H</v>
          </cell>
          <cell r="C65" t="str">
            <v>Administratively Closed</v>
          </cell>
          <cell r="D65" t="str">
            <v>Eastern Europe and Central Asia</v>
          </cell>
          <cell r="E65" t="str">
            <v>BLR</v>
          </cell>
          <cell r="F65" t="str">
            <v>United Nations Development Programme, Belarus</v>
          </cell>
        </row>
        <row r="66">
          <cell r="B66" t="str">
            <v>BLR-607-G02-T</v>
          </cell>
          <cell r="C66" t="str">
            <v>Administratively Closed</v>
          </cell>
          <cell r="D66" t="str">
            <v>Eastern Europe and Central Asia</v>
          </cell>
          <cell r="E66" t="str">
            <v>BLR</v>
          </cell>
          <cell r="F66" t="str">
            <v>United Nations Development Programme, Belarus</v>
          </cell>
        </row>
        <row r="67">
          <cell r="B67" t="str">
            <v>BLR-809-G03-H</v>
          </cell>
          <cell r="C67" t="str">
            <v>Administratively Closed</v>
          </cell>
          <cell r="D67" t="str">
            <v>Eastern Europe and Central Asia</v>
          </cell>
          <cell r="E67" t="str">
            <v>BLR</v>
          </cell>
          <cell r="F67" t="str">
            <v>United Nations Development Programme, Belarus</v>
          </cell>
        </row>
        <row r="68">
          <cell r="B68" t="str">
            <v>BLR-H-UNDP</v>
          </cell>
          <cell r="C68" t="str">
            <v>Active</v>
          </cell>
          <cell r="D68" t="str">
            <v>Eastern Europe and Central Asia</v>
          </cell>
          <cell r="E68" t="str">
            <v>BLR</v>
          </cell>
          <cell r="F68" t="str">
            <v>United Nations Development Programme, Belarus</v>
          </cell>
        </row>
        <row r="69">
          <cell r="B69" t="str">
            <v>BLR-S10-G04-T</v>
          </cell>
          <cell r="C69" t="str">
            <v>Active</v>
          </cell>
          <cell r="D69" t="str">
            <v>Eastern Europe and Central Asia</v>
          </cell>
          <cell r="E69" t="str">
            <v>BLR</v>
          </cell>
          <cell r="F69" t="str">
            <v>United Nations Development Programme, Belarus</v>
          </cell>
        </row>
        <row r="70">
          <cell r="B70" t="str">
            <v>BEL-304-G01-H</v>
          </cell>
          <cell r="C70" t="str">
            <v>Administratively Closed</v>
          </cell>
          <cell r="D70" t="str">
            <v>Latin America and Caribbean</v>
          </cell>
          <cell r="E70" t="str">
            <v>BLZ</v>
          </cell>
          <cell r="F70" t="str">
            <v>Belize Enterprise for Sustainable Technology</v>
          </cell>
        </row>
        <row r="71">
          <cell r="B71" t="str">
            <v>BEL-910-G02-H</v>
          </cell>
          <cell r="C71" t="str">
            <v>Active</v>
          </cell>
          <cell r="D71" t="str">
            <v>Latin America and Caribbean</v>
          </cell>
          <cell r="E71" t="str">
            <v>BLZ</v>
          </cell>
          <cell r="F71" t="str">
            <v>United Nations Development Programme, Belize</v>
          </cell>
        </row>
        <row r="72">
          <cell r="B72" t="str">
            <v>BEN-102-G01-M-00</v>
          </cell>
          <cell r="C72" t="str">
            <v>Financial Closure</v>
          </cell>
          <cell r="D72" t="str">
            <v>Central Africa</v>
          </cell>
          <cell r="E72" t="str">
            <v>BEN</v>
          </cell>
          <cell r="F72" t="str">
            <v>United Nations Development Programme, Benin</v>
          </cell>
        </row>
        <row r="73">
          <cell r="B73" t="str">
            <v>BEN-202-G02-T-00</v>
          </cell>
          <cell r="C73" t="str">
            <v>Administratively Closed</v>
          </cell>
          <cell r="D73" t="str">
            <v>Central Africa</v>
          </cell>
          <cell r="E73" t="str">
            <v>BEN</v>
          </cell>
          <cell r="F73" t="str">
            <v>United Nations Development Programme, Benin</v>
          </cell>
        </row>
        <row r="74">
          <cell r="B74" t="str">
            <v>BEN-202-G03-H-00</v>
          </cell>
          <cell r="C74" t="str">
            <v>Administratively Closed</v>
          </cell>
          <cell r="D74" t="str">
            <v>Central Africa</v>
          </cell>
          <cell r="E74" t="str">
            <v>BEN</v>
          </cell>
          <cell r="F74" t="str">
            <v>United Nations Development Programme, Benin</v>
          </cell>
        </row>
        <row r="75">
          <cell r="B75" t="str">
            <v>BEN-304-G04-M</v>
          </cell>
          <cell r="C75" t="str">
            <v>Active</v>
          </cell>
          <cell r="D75" t="str">
            <v>Central Africa</v>
          </cell>
          <cell r="E75" t="str">
            <v>BEN</v>
          </cell>
          <cell r="F75" t="str">
            <v>Africare</v>
          </cell>
        </row>
        <row r="76">
          <cell r="B76" t="str">
            <v>BEN-506-G05-H</v>
          </cell>
          <cell r="C76" t="str">
            <v>Administratively Closed</v>
          </cell>
          <cell r="D76" t="str">
            <v>Central Africa</v>
          </cell>
          <cell r="E76" t="str">
            <v>BEN</v>
          </cell>
          <cell r="F76" t="str">
            <v>Programme National de Lutte contre le SIDA, Ministry of Health of Benin</v>
          </cell>
        </row>
        <row r="77">
          <cell r="B77" t="str">
            <v>BEN-607-G06-T</v>
          </cell>
          <cell r="C77" t="str">
            <v>Administratively Closed</v>
          </cell>
          <cell r="D77" t="str">
            <v>Central Africa</v>
          </cell>
          <cell r="E77" t="str">
            <v>BEN</v>
          </cell>
          <cell r="F77" t="str">
            <v>Programme National de Lutte contre le SIDA, Ministry of Health of Benin</v>
          </cell>
        </row>
        <row r="78">
          <cell r="B78" t="str">
            <v>BEN-708-G07-M</v>
          </cell>
          <cell r="C78" t="str">
            <v>Active</v>
          </cell>
          <cell r="D78" t="str">
            <v>Central Africa</v>
          </cell>
          <cell r="E78" t="str">
            <v>BEN</v>
          </cell>
          <cell r="F78" t="str">
            <v>Catholic Relief Services USCCB - Benin</v>
          </cell>
        </row>
        <row r="79">
          <cell r="B79" t="str">
            <v>BEN-H-BENPNLS</v>
          </cell>
          <cell r="C79" t="str">
            <v>Active</v>
          </cell>
          <cell r="D79" t="str">
            <v>Central Africa</v>
          </cell>
          <cell r="E79" t="str">
            <v>BEN</v>
          </cell>
          <cell r="F79" t="str">
            <v>Programme National de Lutte contre le SIDA, Ministry of Health of Benin</v>
          </cell>
        </row>
        <row r="80">
          <cell r="B80" t="str">
            <v>BEN-H-PlanBen</v>
          </cell>
          <cell r="C80" t="str">
            <v>Active</v>
          </cell>
          <cell r="D80" t="str">
            <v>Central Africa</v>
          </cell>
          <cell r="E80" t="str">
            <v>BEN</v>
          </cell>
          <cell r="F80" t="str">
            <v>Plan Benin</v>
          </cell>
        </row>
        <row r="81">
          <cell r="B81" t="str">
            <v>BEN-H-SEIBsa</v>
          </cell>
          <cell r="C81" t="str">
            <v>Active</v>
          </cell>
          <cell r="D81" t="str">
            <v>Central Africa</v>
          </cell>
          <cell r="E81" t="str">
            <v>BEN</v>
          </cell>
          <cell r="F81" t="str">
            <v>Industrial and Building Electricity Company</v>
          </cell>
        </row>
        <row r="82">
          <cell r="B82" t="str">
            <v>BEN-S-PRPSS</v>
          </cell>
          <cell r="C82" t="str">
            <v>Active</v>
          </cell>
          <cell r="D82" t="str">
            <v>Central Africa</v>
          </cell>
          <cell r="E82" t="str">
            <v>BEN</v>
          </cell>
          <cell r="F82" t="str">
            <v>Health System Performance Project, Ministry of Health of Benin</v>
          </cell>
        </row>
        <row r="83">
          <cell r="B83" t="str">
            <v>BEN-T-PNTUB</v>
          </cell>
          <cell r="C83" t="str">
            <v>Active</v>
          </cell>
          <cell r="D83" t="str">
            <v>Central Africa</v>
          </cell>
          <cell r="E83" t="str">
            <v>BEN</v>
          </cell>
          <cell r="F83" t="str">
            <v>Programme National contre la Tuberculose, Ministry of Health of Benin</v>
          </cell>
        </row>
        <row r="84">
          <cell r="B84" t="str">
            <v>BTN-405-G01-M</v>
          </cell>
          <cell r="C84" t="str">
            <v>Administratively Closed</v>
          </cell>
          <cell r="D84" t="str">
            <v>South East Asia</v>
          </cell>
          <cell r="E84" t="str">
            <v>BTN</v>
          </cell>
          <cell r="F84" t="str">
            <v>Ministry of Health of Bhutan</v>
          </cell>
        </row>
        <row r="85">
          <cell r="B85" t="str">
            <v>BTN-405-G02-T</v>
          </cell>
          <cell r="C85" t="str">
            <v>Administratively Closed</v>
          </cell>
          <cell r="D85" t="str">
            <v>South East Asia</v>
          </cell>
          <cell r="E85" t="str">
            <v>BTN</v>
          </cell>
          <cell r="F85" t="str">
            <v>Ministry of Health of Bhutan</v>
          </cell>
        </row>
        <row r="86">
          <cell r="B86" t="str">
            <v>BTN-607-G03-H</v>
          </cell>
          <cell r="C86" t="str">
            <v>Active</v>
          </cell>
          <cell r="D86" t="str">
            <v>South East Asia</v>
          </cell>
          <cell r="E86" t="str">
            <v>BTN</v>
          </cell>
          <cell r="F86" t="str">
            <v>Ministry of Health of Bhutan</v>
          </cell>
        </row>
        <row r="87">
          <cell r="B87" t="str">
            <v>BTN-607-G04-T</v>
          </cell>
          <cell r="C87" t="str">
            <v>Active</v>
          </cell>
          <cell r="D87" t="str">
            <v>South East Asia</v>
          </cell>
          <cell r="E87" t="str">
            <v>BTN</v>
          </cell>
          <cell r="F87" t="str">
            <v>Ministry of Health of Bhutan</v>
          </cell>
        </row>
        <row r="88">
          <cell r="B88" t="str">
            <v>BTN-708-G05-M</v>
          </cell>
          <cell r="C88" t="str">
            <v>Active</v>
          </cell>
          <cell r="D88" t="str">
            <v>South East Asia</v>
          </cell>
          <cell r="E88" t="str">
            <v>BTN</v>
          </cell>
          <cell r="F88" t="str">
            <v>Ministry of Health of Bhutan</v>
          </cell>
        </row>
        <row r="89">
          <cell r="B89" t="str">
            <v>BOL-304-G01-H</v>
          </cell>
          <cell r="C89" t="str">
            <v>Administratively Closed</v>
          </cell>
          <cell r="D89" t="str">
            <v>Latin America and Caribbean</v>
          </cell>
          <cell r="E89" t="str">
            <v>BOL</v>
          </cell>
          <cell r="F89" t="str">
            <v>Centro de Investigación, Educación y Servicios</v>
          </cell>
        </row>
        <row r="90">
          <cell r="B90" t="str">
            <v>BOL-304-G02-M</v>
          </cell>
          <cell r="C90" t="str">
            <v>Administratively Closed</v>
          </cell>
          <cell r="D90" t="str">
            <v>Latin America and Caribbean</v>
          </cell>
          <cell r="E90" t="str">
            <v>BOL</v>
          </cell>
          <cell r="F90" t="str">
            <v>Centro de Investigación, Educación y Servicios</v>
          </cell>
        </row>
        <row r="91">
          <cell r="B91" t="str">
            <v>BOL-304-G03-T</v>
          </cell>
          <cell r="C91" t="str">
            <v>Administratively Closed</v>
          </cell>
          <cell r="D91" t="str">
            <v>Latin America and Caribbean</v>
          </cell>
          <cell r="E91" t="str">
            <v>BOL</v>
          </cell>
          <cell r="F91" t="str">
            <v>Centro de Investigación, Educación y Servicios</v>
          </cell>
        </row>
        <row r="92">
          <cell r="B92" t="str">
            <v>BOL-306-G04-H</v>
          </cell>
          <cell r="C92" t="str">
            <v>Administratively Closed</v>
          </cell>
          <cell r="D92" t="str">
            <v>Latin America and Caribbean</v>
          </cell>
          <cell r="E92" t="str">
            <v>BOL</v>
          </cell>
          <cell r="F92" t="str">
            <v>United Nations Development Programme, Bolivia</v>
          </cell>
        </row>
        <row r="93">
          <cell r="B93" t="str">
            <v>BOL-306-G05-M</v>
          </cell>
          <cell r="C93" t="str">
            <v>Administratively Closed</v>
          </cell>
          <cell r="D93" t="str">
            <v>Latin America and Caribbean</v>
          </cell>
          <cell r="E93" t="str">
            <v>BOL</v>
          </cell>
          <cell r="F93" t="str">
            <v>United Nations Development Programme, Bolivia</v>
          </cell>
        </row>
        <row r="94">
          <cell r="B94" t="str">
            <v>BOL-306-G06-T</v>
          </cell>
          <cell r="C94" t="str">
            <v>Administratively Closed</v>
          </cell>
          <cell r="D94" t="str">
            <v>Latin America and Caribbean</v>
          </cell>
          <cell r="E94" t="str">
            <v>BOL</v>
          </cell>
          <cell r="F94" t="str">
            <v>United Nations Development Programme, Bolivia</v>
          </cell>
        </row>
        <row r="95">
          <cell r="B95" t="str">
            <v>BOL-307-G07-H</v>
          </cell>
          <cell r="C95" t="str">
            <v>Administratively Closed</v>
          </cell>
          <cell r="D95" t="str">
            <v>Latin America and Caribbean</v>
          </cell>
          <cell r="E95" t="str">
            <v>BOL</v>
          </cell>
          <cell r="F95" t="str">
            <v>Humanist Institute for Development Cooperation</v>
          </cell>
        </row>
        <row r="96">
          <cell r="B96" t="str">
            <v>BOL-809-G08-M</v>
          </cell>
          <cell r="C96" t="str">
            <v>Active</v>
          </cell>
          <cell r="D96" t="str">
            <v>Latin America and Caribbean</v>
          </cell>
          <cell r="E96" t="str">
            <v>BOL</v>
          </cell>
          <cell r="F96" t="str">
            <v>United Nations Development Programme, Bolivia</v>
          </cell>
        </row>
        <row r="97">
          <cell r="B97" t="str">
            <v>BOL-910-G09-H</v>
          </cell>
          <cell r="C97" t="str">
            <v>Active</v>
          </cell>
          <cell r="D97" t="str">
            <v>Latin America and Caribbean</v>
          </cell>
          <cell r="E97" t="str">
            <v>BOL</v>
          </cell>
          <cell r="F97" t="str">
            <v>Humanist Institute for Development Cooperation</v>
          </cell>
        </row>
        <row r="98">
          <cell r="B98" t="str">
            <v>BOL-910-G10-T</v>
          </cell>
          <cell r="C98" t="str">
            <v>Financial Closure</v>
          </cell>
          <cell r="D98" t="str">
            <v>Latin America and Caribbean</v>
          </cell>
          <cell r="E98" t="str">
            <v>BOL</v>
          </cell>
          <cell r="F98" t="str">
            <v>United Nations Development Programme, Bolivia</v>
          </cell>
        </row>
        <row r="99">
          <cell r="B99" t="str">
            <v>BOL-913-G11-T</v>
          </cell>
          <cell r="C99" t="str">
            <v>Active</v>
          </cell>
          <cell r="D99" t="str">
            <v>Latin America and Caribbean</v>
          </cell>
          <cell r="E99" t="str">
            <v>BOL</v>
          </cell>
          <cell r="F99" t="str">
            <v>Prosalud</v>
          </cell>
        </row>
        <row r="100">
          <cell r="B100" t="str">
            <v>BIH-506-G01-H</v>
          </cell>
          <cell r="C100" t="str">
            <v>Administratively Closed</v>
          </cell>
          <cell r="D100" t="str">
            <v>Eastern Europe and Central Asia</v>
          </cell>
          <cell r="E100" t="str">
            <v>BIH</v>
          </cell>
          <cell r="F100" t="str">
            <v>United Nations Development Programme, Bosnia-Herzegovina</v>
          </cell>
        </row>
        <row r="101">
          <cell r="B101" t="str">
            <v>BIH-607-G02-T</v>
          </cell>
          <cell r="C101" t="str">
            <v>Administratively Closed</v>
          </cell>
          <cell r="D101" t="str">
            <v>Eastern Europe and Central Asia</v>
          </cell>
          <cell r="E101" t="str">
            <v>BIH</v>
          </cell>
          <cell r="F101" t="str">
            <v>United Nations Development Programme, Bosnia-Herzegovina</v>
          </cell>
        </row>
        <row r="102">
          <cell r="B102" t="str">
            <v>BIH-910-G03-H</v>
          </cell>
          <cell r="C102" t="str">
            <v>Active</v>
          </cell>
          <cell r="D102" t="str">
            <v>Eastern Europe and Central Asia</v>
          </cell>
          <cell r="E102" t="str">
            <v>BIH</v>
          </cell>
          <cell r="F102" t="str">
            <v>United Nations Development Programme, Bosnia-Herzegovina</v>
          </cell>
        </row>
        <row r="103">
          <cell r="B103" t="str">
            <v>BIH-T-UNDP</v>
          </cell>
          <cell r="C103" t="str">
            <v>Active</v>
          </cell>
          <cell r="D103" t="str">
            <v>Eastern Europe and Central Asia</v>
          </cell>
          <cell r="E103" t="str">
            <v>BIH</v>
          </cell>
          <cell r="F103" t="str">
            <v>United Nations Development Programme, Bosnia-Herzegovina</v>
          </cell>
        </row>
        <row r="104">
          <cell r="B104" t="str">
            <v>BOT-202-G01-H-00</v>
          </cell>
          <cell r="C104" t="str">
            <v>Administratively Closed</v>
          </cell>
          <cell r="D104" t="str">
            <v>Southern and Eastern Africa</v>
          </cell>
          <cell r="E104" t="str">
            <v>BWA</v>
          </cell>
          <cell r="F104" t="str">
            <v>Ministry of Finance and Development Planning of Botswana</v>
          </cell>
        </row>
        <row r="105">
          <cell r="B105" t="str">
            <v>BOT-506-G02-T</v>
          </cell>
          <cell r="C105" t="str">
            <v>Financial Closure</v>
          </cell>
          <cell r="D105" t="str">
            <v>Southern and Eastern Africa</v>
          </cell>
          <cell r="E105" t="str">
            <v>BWA</v>
          </cell>
          <cell r="F105" t="str">
            <v>Ministry of Finance and Development Planning of Botswana</v>
          </cell>
        </row>
        <row r="106">
          <cell r="B106" t="str">
            <v>BRA-506-G01-T</v>
          </cell>
          <cell r="C106" t="str">
            <v>Administratively Closed</v>
          </cell>
          <cell r="D106" t="str">
            <v>Latin America and Caribbean</v>
          </cell>
          <cell r="E106" t="str">
            <v>BRA</v>
          </cell>
          <cell r="F106" t="str">
            <v>Fundação Ataulpho de Paiva</v>
          </cell>
        </row>
        <row r="107">
          <cell r="B107" t="str">
            <v>BRA-506-G02-T</v>
          </cell>
          <cell r="C107" t="str">
            <v>Administratively Closed</v>
          </cell>
          <cell r="D107" t="str">
            <v>Latin America and Caribbean</v>
          </cell>
          <cell r="E107" t="str">
            <v>BRA</v>
          </cell>
          <cell r="F107" t="str">
            <v>Fundação Para O Desenvolvimento Científico E Tecnológico Em Saúde</v>
          </cell>
        </row>
        <row r="108">
          <cell r="B108" t="str">
            <v>BRA-809-G03-M</v>
          </cell>
          <cell r="C108" t="str">
            <v>Administratively Closed</v>
          </cell>
          <cell r="D108" t="str">
            <v>Latin America and Caribbean</v>
          </cell>
          <cell r="E108" t="str">
            <v>BRA</v>
          </cell>
          <cell r="F108" t="str">
            <v>Fundação Faculdade de Medicina</v>
          </cell>
        </row>
        <row r="109">
          <cell r="B109" t="str">
            <v>BRA-809-G04-M</v>
          </cell>
          <cell r="C109" t="str">
            <v>Administratively Closed</v>
          </cell>
          <cell r="D109" t="str">
            <v>Latin America and Caribbean</v>
          </cell>
          <cell r="E109" t="str">
            <v>BRA</v>
          </cell>
          <cell r="F109" t="str">
            <v>Fundação de Medicina Tropical Doutor Heitor Vieira Dourado</v>
          </cell>
        </row>
        <row r="110">
          <cell r="B110" t="str">
            <v>BUL-202-G01-H-00</v>
          </cell>
          <cell r="C110" t="str">
            <v>Active</v>
          </cell>
          <cell r="D110" t="str">
            <v>Eastern Europe and Central Asia</v>
          </cell>
          <cell r="E110" t="str">
            <v>BGR</v>
          </cell>
          <cell r="F110" t="str">
            <v>Ministry of Health of Bulgaria</v>
          </cell>
        </row>
        <row r="111">
          <cell r="B111" t="str">
            <v>BUL-607-G02-T</v>
          </cell>
          <cell r="C111" t="str">
            <v>Financial Closure</v>
          </cell>
          <cell r="D111" t="str">
            <v>Eastern Europe and Central Asia</v>
          </cell>
          <cell r="E111" t="str">
            <v>BGR</v>
          </cell>
          <cell r="F111" t="str">
            <v>Ministry of Health of Bulgaria</v>
          </cell>
        </row>
        <row r="112">
          <cell r="B112" t="str">
            <v>BUL-809-G03-T</v>
          </cell>
          <cell r="C112" t="str">
            <v>Active</v>
          </cell>
          <cell r="D112" t="str">
            <v>Eastern Europe and Central Asia</v>
          </cell>
          <cell r="E112" t="str">
            <v>BGR</v>
          </cell>
          <cell r="F112" t="str">
            <v>Ministry of Health of Bulgaria</v>
          </cell>
        </row>
        <row r="113">
          <cell r="B113" t="str">
            <v>BUR-202-G01-M-00</v>
          </cell>
          <cell r="C113" t="str">
            <v>Administratively Closed</v>
          </cell>
          <cell r="D113" t="str">
            <v>Central Africa</v>
          </cell>
          <cell r="E113" t="str">
            <v>BFA</v>
          </cell>
          <cell r="F113" t="str">
            <v>United Nations Development Programme, Burkina Faso</v>
          </cell>
        </row>
        <row r="114">
          <cell r="B114" t="str">
            <v>BUR-202-G02-H-00</v>
          </cell>
          <cell r="C114" t="str">
            <v>Administratively Closed</v>
          </cell>
          <cell r="D114" t="str">
            <v>Central Africa</v>
          </cell>
          <cell r="E114" t="str">
            <v>BFA</v>
          </cell>
          <cell r="F114" t="str">
            <v>United Nations Development Programme, Burkina Faso</v>
          </cell>
        </row>
        <row r="115">
          <cell r="B115" t="str">
            <v>BUR-202-G04-H-00</v>
          </cell>
          <cell r="C115" t="str">
            <v>Administratively Closed</v>
          </cell>
          <cell r="D115" t="str">
            <v>Central Africa</v>
          </cell>
          <cell r="E115" t="str">
            <v>BFA</v>
          </cell>
          <cell r="F115" t="str">
            <v>National Council to Fight Against HIV/AIDS</v>
          </cell>
        </row>
        <row r="116">
          <cell r="B116" t="str">
            <v>BUR-404-G03-T</v>
          </cell>
          <cell r="C116" t="str">
            <v>Administratively Closed</v>
          </cell>
          <cell r="D116" t="str">
            <v>Central Africa</v>
          </cell>
          <cell r="E116" t="str">
            <v>BFA</v>
          </cell>
          <cell r="F116" t="str">
            <v>United Nations Development Programme, Burkina Faso</v>
          </cell>
        </row>
        <row r="117">
          <cell r="B117" t="str">
            <v>BUR-407-G05-T</v>
          </cell>
          <cell r="C117" t="str">
            <v>Financial Closure</v>
          </cell>
          <cell r="D117" t="str">
            <v>Central Africa</v>
          </cell>
          <cell r="E117" t="str">
            <v>BFA</v>
          </cell>
          <cell r="F117" t="str">
            <v>National Council to Fight Against HIV/AIDS</v>
          </cell>
        </row>
        <row r="118">
          <cell r="B118" t="str">
            <v>BUR-607-G06-H</v>
          </cell>
          <cell r="C118" t="str">
            <v>Financial Closure</v>
          </cell>
          <cell r="D118" t="str">
            <v>Central Africa</v>
          </cell>
          <cell r="E118" t="str">
            <v>BFA</v>
          </cell>
          <cell r="F118" t="str">
            <v>National Council to Fight Against HIV/AIDS</v>
          </cell>
        </row>
        <row r="119">
          <cell r="B119" t="str">
            <v>BUR-708-G07-M</v>
          </cell>
          <cell r="C119" t="str">
            <v>Financial Closure</v>
          </cell>
          <cell r="D119" t="str">
            <v>Central Africa</v>
          </cell>
          <cell r="E119" t="str">
            <v>BFA</v>
          </cell>
          <cell r="F119" t="str">
            <v>National Council to Fight Against HIV/AIDS</v>
          </cell>
        </row>
        <row r="120">
          <cell r="B120" t="str">
            <v>BUR-809-G08-M</v>
          </cell>
          <cell r="C120" t="str">
            <v>Administratively Closed</v>
          </cell>
          <cell r="D120" t="str">
            <v>Central Africa</v>
          </cell>
          <cell r="E120" t="str">
            <v>BFA</v>
          </cell>
          <cell r="F120" t="str">
            <v>Programme d'Appui au Developpment Sanitaire</v>
          </cell>
        </row>
        <row r="121">
          <cell r="B121" t="str">
            <v>BUR-809-G09-M</v>
          </cell>
          <cell r="C121" t="str">
            <v>Administratively Closed</v>
          </cell>
          <cell r="D121" t="str">
            <v>Central Africa</v>
          </cell>
          <cell r="E121" t="str">
            <v>BFA</v>
          </cell>
          <cell r="F121" t="str">
            <v>Plan International Burkina Faso</v>
          </cell>
        </row>
        <row r="122">
          <cell r="B122" t="str">
            <v>BUR-810-G10-T</v>
          </cell>
          <cell r="C122" t="str">
            <v>Active</v>
          </cell>
          <cell r="D122" t="str">
            <v>Central Africa</v>
          </cell>
          <cell r="E122" t="str">
            <v>BFA</v>
          </cell>
          <cell r="F122" t="str">
            <v>Programme d'Appui au Developpment Sanitaire</v>
          </cell>
        </row>
        <row r="123">
          <cell r="B123" t="str">
            <v>BUR-810-G11-T</v>
          </cell>
          <cell r="C123" t="str">
            <v>Active</v>
          </cell>
          <cell r="D123" t="str">
            <v>Central Africa</v>
          </cell>
          <cell r="E123" t="str">
            <v>BFA</v>
          </cell>
          <cell r="F123" t="str">
            <v>Programme d’Appui au Monde Associatif et Communautaire</v>
          </cell>
        </row>
        <row r="124">
          <cell r="B124" t="str">
            <v>BUR-H-IPC</v>
          </cell>
          <cell r="C124" t="str">
            <v>Active</v>
          </cell>
          <cell r="D124" t="str">
            <v>Central Africa</v>
          </cell>
          <cell r="E124" t="str">
            <v>BFA</v>
          </cell>
          <cell r="F124" t="str">
            <v>Initiative Privée Communautaire</v>
          </cell>
        </row>
        <row r="125">
          <cell r="B125" t="str">
            <v>BUR-H-SPCNLS</v>
          </cell>
          <cell r="C125" t="str">
            <v>Active</v>
          </cell>
          <cell r="D125" t="str">
            <v>Central Africa</v>
          </cell>
          <cell r="E125" t="str">
            <v>BFA</v>
          </cell>
          <cell r="F125" t="str">
            <v>National Council to Fight Against HIV/AIDS</v>
          </cell>
        </row>
        <row r="126">
          <cell r="B126" t="str">
            <v>BUR-M-PADS</v>
          </cell>
          <cell r="C126" t="str">
            <v>Active</v>
          </cell>
          <cell r="D126" t="str">
            <v>Central Africa</v>
          </cell>
          <cell r="E126" t="str">
            <v>BFA</v>
          </cell>
          <cell r="F126" t="str">
            <v>Programme d'Appui au Developpment Sanitaire</v>
          </cell>
        </row>
        <row r="127">
          <cell r="B127" t="str">
            <v>BUR-M-PLAN</v>
          </cell>
          <cell r="C127" t="str">
            <v>Active</v>
          </cell>
          <cell r="D127" t="str">
            <v>Central Africa</v>
          </cell>
          <cell r="E127" t="str">
            <v>BFA</v>
          </cell>
          <cell r="F127" t="str">
            <v>Plan International Burkina Faso</v>
          </cell>
        </row>
        <row r="128">
          <cell r="B128" t="str">
            <v>BDI-M-SEPCNLS</v>
          </cell>
          <cell r="C128" t="str">
            <v>Active</v>
          </cell>
          <cell r="D128" t="str">
            <v>Central Africa</v>
          </cell>
          <cell r="E128" t="str">
            <v>BDI</v>
          </cell>
          <cell r="F128" t="str">
            <v>Conseil National de Lutte contre le SIDA (CNLS), Burundi</v>
          </cell>
        </row>
        <row r="129">
          <cell r="B129" t="str">
            <v>BRN-102-G01-H-00</v>
          </cell>
          <cell r="C129" t="str">
            <v>Financially Closed</v>
          </cell>
          <cell r="D129" t="str">
            <v>Central Africa</v>
          </cell>
          <cell r="E129" t="str">
            <v>BDI</v>
          </cell>
          <cell r="F129" t="str">
            <v>Conseil National de Lutte contre le SIDA (CNLS), Burundi</v>
          </cell>
        </row>
        <row r="130">
          <cell r="B130" t="str">
            <v>BRN-202-G02-M-00</v>
          </cell>
          <cell r="C130" t="str">
            <v>Administratively Closed</v>
          </cell>
          <cell r="D130" t="str">
            <v>Central Africa</v>
          </cell>
          <cell r="E130" t="str">
            <v>BDI</v>
          </cell>
          <cell r="F130" t="str">
            <v>Projet Sante et Population II, Ministry of Health of Burundi</v>
          </cell>
        </row>
        <row r="131">
          <cell r="B131" t="str">
            <v>BRN-202-G05-M-00</v>
          </cell>
          <cell r="C131" t="str">
            <v>Financial Closure</v>
          </cell>
          <cell r="D131" t="str">
            <v>Central Africa</v>
          </cell>
          <cell r="E131" t="str">
            <v>BDI</v>
          </cell>
          <cell r="F131" t="str">
            <v>Conseil National de Lutte contre le SIDA (CNLS), Burundi</v>
          </cell>
        </row>
        <row r="132">
          <cell r="B132" t="str">
            <v>BRN-405-G03-T</v>
          </cell>
          <cell r="C132" t="str">
            <v>Administratively Closed</v>
          </cell>
          <cell r="D132" t="str">
            <v>Central Africa</v>
          </cell>
          <cell r="E132" t="str">
            <v>BDI</v>
          </cell>
          <cell r="F132" t="str">
            <v>Programme National de Lutte contre la Tuberculose</v>
          </cell>
        </row>
        <row r="133">
          <cell r="B133" t="str">
            <v>BRN-506-G04-H</v>
          </cell>
          <cell r="C133" t="str">
            <v>Financial Closure</v>
          </cell>
          <cell r="D133" t="str">
            <v>Central Africa</v>
          </cell>
          <cell r="E133" t="str">
            <v>BDI</v>
          </cell>
          <cell r="F133" t="str">
            <v>Conseil National de Lutte contre le SIDA (CNLS), Burundi</v>
          </cell>
        </row>
        <row r="134">
          <cell r="B134" t="str">
            <v>BRN-708-G06-T</v>
          </cell>
          <cell r="C134" t="str">
            <v>Active</v>
          </cell>
          <cell r="D134" t="str">
            <v>Central Africa</v>
          </cell>
          <cell r="E134" t="str">
            <v>BDI</v>
          </cell>
          <cell r="F134" t="str">
            <v>Programme National de Lutte contre la Tuberculose</v>
          </cell>
        </row>
        <row r="135">
          <cell r="B135" t="str">
            <v>BRN-809-G07-H</v>
          </cell>
          <cell r="C135" t="str">
            <v>Active</v>
          </cell>
          <cell r="D135" t="str">
            <v>Central Africa</v>
          </cell>
          <cell r="E135" t="str">
            <v>BDI</v>
          </cell>
          <cell r="F135" t="str">
            <v>Conseil National de Lutte contre le SIDA (CNLS), Burundi</v>
          </cell>
        </row>
        <row r="136">
          <cell r="B136" t="str">
            <v>BRN-809-G08-H</v>
          </cell>
          <cell r="C136" t="str">
            <v>Administratively Closed</v>
          </cell>
          <cell r="D136" t="str">
            <v>Central Africa</v>
          </cell>
          <cell r="E136" t="str">
            <v>BDI</v>
          </cell>
          <cell r="F136" t="str">
            <v>Reseau Burundais des Personnes Vivant avec le VIH/SIDA</v>
          </cell>
        </row>
        <row r="137">
          <cell r="B137" t="str">
            <v>BRN-813-G11-H</v>
          </cell>
          <cell r="C137" t="str">
            <v>Active</v>
          </cell>
          <cell r="D137" t="str">
            <v>Central Africa</v>
          </cell>
          <cell r="E137" t="str">
            <v>BDI</v>
          </cell>
          <cell r="F137" t="str">
            <v>Conseil National de Lutte contre le SIDA (CNLS), Burundi</v>
          </cell>
        </row>
        <row r="138">
          <cell r="B138" t="str">
            <v>BRN-910-G09-M</v>
          </cell>
          <cell r="C138" t="str">
            <v>Active</v>
          </cell>
          <cell r="D138" t="str">
            <v>Central Africa</v>
          </cell>
          <cell r="E138" t="str">
            <v>BDI</v>
          </cell>
          <cell r="F138" t="str">
            <v>Conseil National de Lutte contre le SIDA (CNLS), Burundi</v>
          </cell>
        </row>
        <row r="139">
          <cell r="B139" t="str">
            <v>BRN-910-G10-M</v>
          </cell>
          <cell r="C139" t="str">
            <v>Active</v>
          </cell>
          <cell r="D139" t="str">
            <v>Central Africa</v>
          </cell>
          <cell r="E139" t="str">
            <v>BDI</v>
          </cell>
          <cell r="F139" t="str">
            <v>CED-Caritas, Burundi</v>
          </cell>
        </row>
        <row r="140">
          <cell r="B140" t="str">
            <v>CAM-102-G01-H-00</v>
          </cell>
          <cell r="C140" t="str">
            <v>Administratively Closed</v>
          </cell>
          <cell r="D140" t="str">
            <v>South East Asia</v>
          </cell>
          <cell r="E140" t="str">
            <v>KHM</v>
          </cell>
          <cell r="F140" t="str">
            <v>Ministry of Health of Cambodia</v>
          </cell>
        </row>
        <row r="141">
          <cell r="B141" t="str">
            <v>CAM-202-G02-H-00</v>
          </cell>
          <cell r="C141" t="str">
            <v>Administratively Closed</v>
          </cell>
          <cell r="D141" t="str">
            <v>South East Asia</v>
          </cell>
          <cell r="E141" t="str">
            <v>KHM</v>
          </cell>
          <cell r="F141" t="str">
            <v>Ministry of Health of Cambodia</v>
          </cell>
        </row>
        <row r="142">
          <cell r="B142" t="str">
            <v>CAM-202-G03-M-00</v>
          </cell>
          <cell r="C142" t="str">
            <v>Administratively Closed</v>
          </cell>
          <cell r="D142" t="str">
            <v>South East Asia</v>
          </cell>
          <cell r="E142" t="str">
            <v>KHM</v>
          </cell>
          <cell r="F142" t="str">
            <v>Ministry of Health of Cambodia</v>
          </cell>
        </row>
        <row r="143">
          <cell r="B143" t="str">
            <v>CAM-202-G04-T-00</v>
          </cell>
          <cell r="C143" t="str">
            <v>Administratively Closed</v>
          </cell>
          <cell r="D143" t="str">
            <v>South East Asia</v>
          </cell>
          <cell r="E143" t="str">
            <v>KHM</v>
          </cell>
          <cell r="F143" t="str">
            <v>Ministry of Health of Cambodia</v>
          </cell>
        </row>
        <row r="144">
          <cell r="B144" t="str">
            <v>CAM-202-G13-M</v>
          </cell>
          <cell r="C144" t="str">
            <v>Administratively Closed</v>
          </cell>
          <cell r="D144" t="str">
            <v>South East Asia</v>
          </cell>
          <cell r="E144" t="str">
            <v>KHM</v>
          </cell>
          <cell r="F144" t="str">
            <v>National Centre for Parasitology, Entomology and Malaria Control</v>
          </cell>
        </row>
        <row r="145">
          <cell r="B145" t="str">
            <v>CAM-405-G05-H</v>
          </cell>
          <cell r="C145" t="str">
            <v>Administratively Closed</v>
          </cell>
          <cell r="D145" t="str">
            <v>South East Asia</v>
          </cell>
          <cell r="E145" t="str">
            <v>KHM</v>
          </cell>
          <cell r="F145" t="str">
            <v>Ministry of Health of Cambodia</v>
          </cell>
        </row>
        <row r="146">
          <cell r="B146" t="str">
            <v>CAM-405-G06-M</v>
          </cell>
          <cell r="C146" t="str">
            <v>Administratively Closed</v>
          </cell>
          <cell r="D146" t="str">
            <v>South East Asia</v>
          </cell>
          <cell r="E146" t="str">
            <v>KHM</v>
          </cell>
          <cell r="F146" t="str">
            <v>Ministry of Health of Cambodia</v>
          </cell>
        </row>
        <row r="147">
          <cell r="B147" t="str">
            <v>CAM-506-G07-H</v>
          </cell>
          <cell r="C147" t="str">
            <v>Administratively Closed</v>
          </cell>
          <cell r="D147" t="str">
            <v>South East Asia</v>
          </cell>
          <cell r="E147" t="str">
            <v>KHM</v>
          </cell>
          <cell r="F147" t="str">
            <v>Ministry of Health of Cambodia</v>
          </cell>
        </row>
        <row r="148">
          <cell r="B148" t="str">
            <v>CAM-506-G08-S</v>
          </cell>
          <cell r="C148" t="str">
            <v>Administratively Closed</v>
          </cell>
          <cell r="D148" t="str">
            <v>South East Asia</v>
          </cell>
          <cell r="E148" t="str">
            <v>KHM</v>
          </cell>
          <cell r="F148" t="str">
            <v>Ministry of Health of Cambodia</v>
          </cell>
        </row>
        <row r="149">
          <cell r="B149" t="str">
            <v>CAM-506-G09-T</v>
          </cell>
          <cell r="C149" t="str">
            <v>Administratively Closed</v>
          </cell>
          <cell r="D149" t="str">
            <v>South East Asia</v>
          </cell>
          <cell r="E149" t="str">
            <v>KHM</v>
          </cell>
          <cell r="F149" t="str">
            <v>Ministry of Health of Cambodia</v>
          </cell>
        </row>
        <row r="150">
          <cell r="B150" t="str">
            <v>CAM-607-G10-M</v>
          </cell>
          <cell r="C150" t="str">
            <v>Financial Closure</v>
          </cell>
          <cell r="D150" t="str">
            <v>South East Asia</v>
          </cell>
          <cell r="E150" t="str">
            <v>KHM</v>
          </cell>
          <cell r="F150" t="str">
            <v>Ministry of Health of Cambodia</v>
          </cell>
        </row>
        <row r="151">
          <cell r="B151" t="str">
            <v>CAM-708-G11-H</v>
          </cell>
          <cell r="C151" t="str">
            <v>Administratively Closed</v>
          </cell>
          <cell r="D151" t="str">
            <v>South East Asia</v>
          </cell>
          <cell r="E151" t="str">
            <v>KHM</v>
          </cell>
          <cell r="F151" t="str">
            <v>National Center for HIV/AIDS, Dermatology and STI</v>
          </cell>
        </row>
        <row r="152">
          <cell r="B152" t="str">
            <v>CAM-708-G12-T</v>
          </cell>
          <cell r="C152" t="str">
            <v>Active</v>
          </cell>
          <cell r="D152" t="str">
            <v>South East Asia</v>
          </cell>
          <cell r="E152" t="str">
            <v>KHM</v>
          </cell>
          <cell r="F152" t="str">
            <v>National Center for Tuberculosis and Leprosy Control</v>
          </cell>
        </row>
        <row r="153">
          <cell r="B153" t="str">
            <v>CAM-H-NCHADS</v>
          </cell>
          <cell r="C153" t="str">
            <v>Active</v>
          </cell>
          <cell r="D153" t="str">
            <v>South East Asia</v>
          </cell>
          <cell r="E153" t="str">
            <v>KHM</v>
          </cell>
          <cell r="F153" t="str">
            <v>National Center for HIV/AIDS, Dermatology and STI</v>
          </cell>
        </row>
        <row r="154">
          <cell r="B154" t="str">
            <v>CAM-M-CNM</v>
          </cell>
          <cell r="C154" t="str">
            <v>Financial Closure</v>
          </cell>
          <cell r="D154" t="str">
            <v>South East Asia</v>
          </cell>
          <cell r="E154" t="str">
            <v>KHM</v>
          </cell>
          <cell r="F154" t="str">
            <v>National Centre for Parasitology, Entomology and Malaria Control</v>
          </cell>
        </row>
        <row r="155">
          <cell r="B155" t="str">
            <v>CAM-M-UNOPS</v>
          </cell>
          <cell r="C155" t="str">
            <v>Active</v>
          </cell>
          <cell r="D155" t="str">
            <v>South East Asia</v>
          </cell>
          <cell r="E155" t="str">
            <v>KHM</v>
          </cell>
          <cell r="F155" t="str">
            <v>United Nations Office for Project Services, Denmark</v>
          </cell>
        </row>
        <row r="156">
          <cell r="B156" t="str">
            <v>CAM-S-PRMOH</v>
          </cell>
          <cell r="C156" t="str">
            <v>Active</v>
          </cell>
          <cell r="D156" t="str">
            <v>South East Asia</v>
          </cell>
          <cell r="E156" t="str">
            <v>KHM</v>
          </cell>
          <cell r="F156" t="str">
            <v>Ministry of Health of Cambodia</v>
          </cell>
        </row>
        <row r="157">
          <cell r="B157" t="str">
            <v>KHM-T-CENAT</v>
          </cell>
          <cell r="C157" t="str">
            <v>Active</v>
          </cell>
          <cell r="D157" t="str">
            <v>South East Asia</v>
          </cell>
          <cell r="E157" t="str">
            <v>KHM</v>
          </cell>
          <cell r="F157" t="str">
            <v>National Center for Tuberculosis and Leprosy Control</v>
          </cell>
        </row>
        <row r="158">
          <cell r="B158" t="str">
            <v>CMR-011-G10-H</v>
          </cell>
          <cell r="C158" t="str">
            <v>Active</v>
          </cell>
          <cell r="D158" t="str">
            <v>Western Africa</v>
          </cell>
          <cell r="E158" t="str">
            <v>CMR</v>
          </cell>
          <cell r="F158" t="str">
            <v>Cameroon National Association for Family Welfare</v>
          </cell>
        </row>
        <row r="159">
          <cell r="B159" t="str">
            <v>CMR-011-G11-H</v>
          </cell>
          <cell r="C159" t="str">
            <v>Active</v>
          </cell>
          <cell r="D159" t="str">
            <v>Western Africa</v>
          </cell>
          <cell r="E159" t="str">
            <v>CMR</v>
          </cell>
          <cell r="F159" t="str">
            <v>National AIDS Control Program, Ministry of Public Health of Cameroon</v>
          </cell>
        </row>
        <row r="160">
          <cell r="B160" t="str">
            <v>CMR-304-G01-H</v>
          </cell>
          <cell r="C160" t="str">
            <v>Administratively Closed</v>
          </cell>
          <cell r="D160" t="str">
            <v>Western Africa</v>
          </cell>
          <cell r="E160" t="str">
            <v>CMR</v>
          </cell>
          <cell r="F160" t="str">
            <v>Ministry of Public Health of Cameroon</v>
          </cell>
        </row>
        <row r="161">
          <cell r="B161" t="str">
            <v>CMR-304-G02-M</v>
          </cell>
          <cell r="C161" t="str">
            <v>Administratively Closed</v>
          </cell>
          <cell r="D161" t="str">
            <v>Western Africa</v>
          </cell>
          <cell r="E161" t="str">
            <v>CMR</v>
          </cell>
          <cell r="F161" t="str">
            <v>National Malaria Control Program, Ministry of Public Health of Cameroon</v>
          </cell>
        </row>
        <row r="162">
          <cell r="B162" t="str">
            <v>CMR-304-G03-T</v>
          </cell>
          <cell r="C162" t="str">
            <v>Administratively Closed</v>
          </cell>
          <cell r="D162" t="str">
            <v>Western Africa</v>
          </cell>
          <cell r="E162" t="str">
            <v>CMR</v>
          </cell>
          <cell r="F162" t="str">
            <v>Ministry of Public Health of Cameroon</v>
          </cell>
        </row>
        <row r="163">
          <cell r="B163" t="str">
            <v>CMR-404-G04-H</v>
          </cell>
          <cell r="C163" t="str">
            <v>Administratively Closed</v>
          </cell>
          <cell r="D163" t="str">
            <v>Western Africa</v>
          </cell>
          <cell r="E163" t="str">
            <v>CMR</v>
          </cell>
          <cell r="F163" t="str">
            <v>CARE International in Cameroon</v>
          </cell>
        </row>
        <row r="164">
          <cell r="B164" t="str">
            <v>CMR-506-G05-H</v>
          </cell>
          <cell r="C164" t="str">
            <v>Administratively Closed</v>
          </cell>
          <cell r="D164" t="str">
            <v>Western Africa</v>
          </cell>
          <cell r="E164" t="str">
            <v>CMR</v>
          </cell>
          <cell r="F164" t="str">
            <v>National AIDS Control Program, Ministry of Public Health of Cameroon</v>
          </cell>
        </row>
        <row r="165">
          <cell r="B165" t="str">
            <v>CMR-506-G06-M</v>
          </cell>
          <cell r="C165" t="str">
            <v>Administratively Closed</v>
          </cell>
          <cell r="D165" t="str">
            <v>Western Africa</v>
          </cell>
          <cell r="E165" t="str">
            <v>CMR</v>
          </cell>
          <cell r="F165" t="str">
            <v>National Malaria Control Program, Ministry of Public Health of Cameroon</v>
          </cell>
        </row>
        <row r="166">
          <cell r="B166" t="str">
            <v>CMR-910-G07-M</v>
          </cell>
          <cell r="C166" t="str">
            <v>Active</v>
          </cell>
          <cell r="D166" t="str">
            <v>Western Africa</v>
          </cell>
          <cell r="E166" t="str">
            <v>CMR</v>
          </cell>
          <cell r="F166" t="str">
            <v>National Malaria Control Program, Ministry of Public Health of Cameroon</v>
          </cell>
        </row>
        <row r="167">
          <cell r="B167" t="str">
            <v>CMR-910-G08-M</v>
          </cell>
          <cell r="C167" t="str">
            <v>Active</v>
          </cell>
          <cell r="D167" t="str">
            <v>Western Africa</v>
          </cell>
          <cell r="E167" t="str">
            <v>CMR</v>
          </cell>
          <cell r="F167" t="str">
            <v>Plan International Cameroon</v>
          </cell>
        </row>
        <row r="168">
          <cell r="B168" t="str">
            <v>CMR-910-G09-T</v>
          </cell>
          <cell r="C168" t="str">
            <v>Active</v>
          </cell>
          <cell r="D168" t="str">
            <v>Western Africa</v>
          </cell>
          <cell r="E168" t="str">
            <v>CMR</v>
          </cell>
          <cell r="F168" t="str">
            <v>National Tuberculosis Control Program, Ministry of Public Health of Cameroon</v>
          </cell>
        </row>
        <row r="169">
          <cell r="B169" t="str">
            <v>CMR-M-MOH</v>
          </cell>
          <cell r="C169" t="str">
            <v>Active</v>
          </cell>
          <cell r="D169" t="str">
            <v>Western Africa</v>
          </cell>
          <cell r="E169" t="str">
            <v>CMR</v>
          </cell>
          <cell r="F169" t="str">
            <v>National Malaria Control Program, Ministry of Public Health of Cameroon</v>
          </cell>
        </row>
        <row r="170">
          <cell r="B170" t="str">
            <v>CPV-011-G03-M</v>
          </cell>
          <cell r="C170" t="str">
            <v>Active</v>
          </cell>
          <cell r="D170" t="str">
            <v>Western Africa</v>
          </cell>
          <cell r="E170" t="str">
            <v>CPV</v>
          </cell>
          <cell r="F170" t="str">
            <v>Coordination Committee to Fight AIDS of Cape Verde</v>
          </cell>
        </row>
        <row r="171">
          <cell r="B171" t="str">
            <v>CPV-810-G01-H</v>
          </cell>
          <cell r="C171" t="str">
            <v>Active</v>
          </cell>
          <cell r="D171" t="str">
            <v>Western Africa</v>
          </cell>
          <cell r="E171" t="str">
            <v>CPV</v>
          </cell>
          <cell r="F171" t="str">
            <v>Coordination Committee to Fight AIDS of Cape Verde</v>
          </cell>
        </row>
        <row r="172">
          <cell r="B172" t="str">
            <v>CPV-810-G02-H</v>
          </cell>
          <cell r="C172" t="str">
            <v>Active</v>
          </cell>
          <cell r="D172" t="str">
            <v>Western Africa</v>
          </cell>
          <cell r="E172" t="str">
            <v>CPV</v>
          </cell>
          <cell r="F172" t="str">
            <v>Cape Verde Non Governmental Organisations Platform</v>
          </cell>
        </row>
        <row r="173">
          <cell r="B173" t="str">
            <v>CAF-202-G01-H-00</v>
          </cell>
          <cell r="C173" t="str">
            <v>Financial Closure</v>
          </cell>
          <cell r="D173" t="str">
            <v>Central Africa</v>
          </cell>
          <cell r="E173" t="str">
            <v>CAF</v>
          </cell>
          <cell r="F173" t="str">
            <v>United Nations Development Programme, Central African Republic</v>
          </cell>
        </row>
        <row r="174">
          <cell r="B174" t="str">
            <v>CAF-404-G02-H</v>
          </cell>
          <cell r="C174" t="str">
            <v>Financial Closure</v>
          </cell>
          <cell r="D174" t="str">
            <v>Central Africa</v>
          </cell>
          <cell r="E174" t="str">
            <v>CAF</v>
          </cell>
          <cell r="F174" t="str">
            <v>United Nations Development Programme, Central African Republic</v>
          </cell>
        </row>
        <row r="175">
          <cell r="B175" t="str">
            <v>CAF-404-G03-T</v>
          </cell>
          <cell r="C175" t="str">
            <v>Financial Closure</v>
          </cell>
          <cell r="D175" t="str">
            <v>Central Africa</v>
          </cell>
          <cell r="E175" t="str">
            <v>CAF</v>
          </cell>
          <cell r="F175" t="str">
            <v>United Nations Development Programme, Central African Republic</v>
          </cell>
        </row>
        <row r="176">
          <cell r="B176" t="str">
            <v>CAF-405-G04-M</v>
          </cell>
          <cell r="C176" t="str">
            <v>Financial Closure</v>
          </cell>
          <cell r="D176" t="str">
            <v>Central Africa</v>
          </cell>
          <cell r="E176" t="str">
            <v>CAF</v>
          </cell>
          <cell r="F176" t="str">
            <v>United Nations Development Programme, Central African Republic</v>
          </cell>
        </row>
        <row r="177">
          <cell r="B177" t="str">
            <v>CAF-409-G06-H</v>
          </cell>
          <cell r="C177" t="str">
            <v>Financially Closed</v>
          </cell>
          <cell r="D177" t="str">
            <v>Central Africa</v>
          </cell>
          <cell r="E177" t="str">
            <v>CAF</v>
          </cell>
          <cell r="F177" t="str">
            <v>Comité National de Lutte contre le VIH/SIDA, CAF</v>
          </cell>
        </row>
        <row r="178">
          <cell r="B178" t="str">
            <v>CAF-409-G07-T</v>
          </cell>
          <cell r="C178" t="str">
            <v>Financial Closure</v>
          </cell>
          <cell r="D178" t="str">
            <v>Central Africa</v>
          </cell>
          <cell r="E178" t="str">
            <v>CAF</v>
          </cell>
          <cell r="F178" t="str">
            <v>Comité National de Lutte contre le VIH/SIDA, CAF</v>
          </cell>
        </row>
        <row r="179">
          <cell r="B179" t="str">
            <v>CAF-708-G05-H</v>
          </cell>
          <cell r="C179" t="str">
            <v>Financial Closure</v>
          </cell>
          <cell r="D179" t="str">
            <v>Central Africa</v>
          </cell>
          <cell r="E179" t="str">
            <v>CAF</v>
          </cell>
          <cell r="F179" t="str">
            <v>Comité National de Lutte contre le VIH/SIDA, CAF</v>
          </cell>
        </row>
        <row r="180">
          <cell r="B180" t="str">
            <v>CAF-810-G08-M</v>
          </cell>
          <cell r="C180" t="str">
            <v>Financial Closure</v>
          </cell>
          <cell r="D180" t="str">
            <v>Central Africa</v>
          </cell>
          <cell r="E180" t="str">
            <v>CAF</v>
          </cell>
          <cell r="F180" t="str">
            <v>Comité National de Lutte contre le VIH/SIDA, CAF</v>
          </cell>
        </row>
        <row r="181">
          <cell r="B181" t="str">
            <v>CAF-813-G10-M</v>
          </cell>
          <cell r="C181" t="str">
            <v>Active</v>
          </cell>
          <cell r="D181" t="str">
            <v>Central Africa</v>
          </cell>
          <cell r="E181" t="str">
            <v>CAF</v>
          </cell>
          <cell r="F181" t="str">
            <v>International Federation of Red Cross and Red Crescent Societies</v>
          </cell>
        </row>
        <row r="182">
          <cell r="B182" t="str">
            <v>CAF-911-G09-T</v>
          </cell>
          <cell r="C182" t="str">
            <v>Financial Closure</v>
          </cell>
          <cell r="D182" t="str">
            <v>Central Africa</v>
          </cell>
          <cell r="E182" t="str">
            <v>CAF</v>
          </cell>
          <cell r="F182" t="str">
            <v>Ministry of Public Health, Population and Fight against HIV/AIDS</v>
          </cell>
        </row>
        <row r="183">
          <cell r="B183" t="str">
            <v>CAF-C-IFRC</v>
          </cell>
          <cell r="C183" t="str">
            <v>Active</v>
          </cell>
          <cell r="D183" t="str">
            <v>Central Africa</v>
          </cell>
          <cell r="E183" t="str">
            <v>CAF</v>
          </cell>
          <cell r="F183" t="str">
            <v>International Federation of Red Cross and Red Crescent Societies</v>
          </cell>
        </row>
        <row r="184">
          <cell r="B184" t="str">
            <v>TCD-202-G01-T-00</v>
          </cell>
          <cell r="C184" t="str">
            <v>Administratively Closed</v>
          </cell>
          <cell r="D184" t="str">
            <v>Western Africa</v>
          </cell>
          <cell r="E184" t="str">
            <v>TCD</v>
          </cell>
          <cell r="F184" t="str">
            <v>Fonds de Soutien aux Activités en matière de Population</v>
          </cell>
        </row>
        <row r="185">
          <cell r="B185" t="str">
            <v>TCD-304-G02-H</v>
          </cell>
          <cell r="C185" t="str">
            <v>Administratively Closed</v>
          </cell>
          <cell r="D185" t="str">
            <v>Western Africa</v>
          </cell>
          <cell r="E185" t="str">
            <v>TCD</v>
          </cell>
          <cell r="F185" t="str">
            <v>Fonds de Soutien aux Activités en matière de Population</v>
          </cell>
        </row>
        <row r="186">
          <cell r="B186" t="str">
            <v>TCD-708-G03-M</v>
          </cell>
          <cell r="C186" t="str">
            <v>Administratively Closed</v>
          </cell>
          <cell r="D186" t="str">
            <v>Western Africa</v>
          </cell>
          <cell r="E186" t="str">
            <v>TCD</v>
          </cell>
          <cell r="F186" t="str">
            <v>United Nations Development Programme, Chad</v>
          </cell>
        </row>
        <row r="187">
          <cell r="B187" t="str">
            <v>TCD-810-G04-H</v>
          </cell>
          <cell r="C187" t="str">
            <v>Financial Closure</v>
          </cell>
          <cell r="D187" t="str">
            <v>Western Africa</v>
          </cell>
          <cell r="E187" t="str">
            <v>TCD</v>
          </cell>
          <cell r="F187" t="str">
            <v>Association of Social Marketing in Chad (AMASOT)</v>
          </cell>
        </row>
        <row r="188">
          <cell r="B188" t="str">
            <v>TCD-810-G05-H</v>
          </cell>
          <cell r="C188" t="str">
            <v>Active</v>
          </cell>
          <cell r="D188" t="str">
            <v>Western Africa</v>
          </cell>
          <cell r="E188" t="str">
            <v>TCD</v>
          </cell>
          <cell r="F188" t="str">
            <v>Fonds de Soutien aux Activités en matière de Population</v>
          </cell>
        </row>
        <row r="189">
          <cell r="B189" t="str">
            <v>TCD-810-G06-H</v>
          </cell>
          <cell r="C189" t="str">
            <v>Financial Closure</v>
          </cell>
          <cell r="D189" t="str">
            <v>Western Africa</v>
          </cell>
          <cell r="E189" t="str">
            <v>TCD</v>
          </cell>
          <cell r="F189" t="str">
            <v>National Union of Diocesan Associations</v>
          </cell>
        </row>
        <row r="190">
          <cell r="B190" t="str">
            <v>TCD-810-G07-T</v>
          </cell>
          <cell r="C190" t="str">
            <v>Active</v>
          </cell>
          <cell r="D190" t="str">
            <v>Western Africa</v>
          </cell>
          <cell r="E190" t="str">
            <v>TCD</v>
          </cell>
          <cell r="F190" t="str">
            <v>Fonds de Soutien aux Activités en matière de Population</v>
          </cell>
        </row>
        <row r="191">
          <cell r="B191" t="str">
            <v>TCD-910-G08-M</v>
          </cell>
          <cell r="C191" t="str">
            <v>Administratively Closed</v>
          </cell>
          <cell r="D191" t="str">
            <v>Western Africa</v>
          </cell>
          <cell r="E191" t="str">
            <v>TCD</v>
          </cell>
          <cell r="F191" t="str">
            <v>United Nations Development Programme, Chad</v>
          </cell>
        </row>
        <row r="192">
          <cell r="B192" t="str">
            <v>TCD-M-UNDP</v>
          </cell>
          <cell r="C192" t="str">
            <v>Active</v>
          </cell>
          <cell r="D192" t="str">
            <v>Western Africa</v>
          </cell>
          <cell r="E192" t="str">
            <v>TCD</v>
          </cell>
          <cell r="F192" t="str">
            <v>United Nations Development Programme, Chad</v>
          </cell>
        </row>
        <row r="193">
          <cell r="B193" t="str">
            <v>TCD-T13-G09-M</v>
          </cell>
          <cell r="C193" t="str">
            <v>Active</v>
          </cell>
          <cell r="D193" t="str">
            <v>Western Africa</v>
          </cell>
          <cell r="E193" t="str">
            <v>TCD</v>
          </cell>
          <cell r="F193" t="str">
            <v>Fonds de Soutien aux Activités en matière de Population</v>
          </cell>
        </row>
        <row r="194">
          <cell r="B194" t="str">
            <v>CHL-102-G01-H-00</v>
          </cell>
          <cell r="C194" t="str">
            <v>Administratively Closed</v>
          </cell>
          <cell r="D194" t="str">
            <v>Latin America and Caribbean</v>
          </cell>
          <cell r="E194" t="str">
            <v>CHL</v>
          </cell>
          <cell r="F194" t="str">
            <v>Consejo de las Américas</v>
          </cell>
        </row>
        <row r="195">
          <cell r="B195" t="str">
            <v>CHN-011-G15-M</v>
          </cell>
          <cell r="C195" t="str">
            <v>Financial Closure</v>
          </cell>
          <cell r="D195" t="str">
            <v>High Impact Asia</v>
          </cell>
          <cell r="E195" t="str">
            <v>CHN</v>
          </cell>
          <cell r="F195" t="str">
            <v>Chinese Centre for Disease Control and Prevention</v>
          </cell>
        </row>
        <row r="196">
          <cell r="B196" t="str">
            <v>CHN-102-G01-T-00</v>
          </cell>
          <cell r="C196" t="str">
            <v>Administratively Closed</v>
          </cell>
          <cell r="D196" t="str">
            <v>High Impact Asia</v>
          </cell>
          <cell r="E196" t="str">
            <v>CHN</v>
          </cell>
          <cell r="F196" t="str">
            <v>Chinese Centre for Disease Control and Prevention</v>
          </cell>
        </row>
        <row r="197">
          <cell r="B197" t="str">
            <v>CHN-102-G02-M-00</v>
          </cell>
          <cell r="C197" t="str">
            <v>Administratively Closed</v>
          </cell>
          <cell r="D197" t="str">
            <v>High Impact Asia</v>
          </cell>
          <cell r="E197" t="str">
            <v>CHN</v>
          </cell>
          <cell r="F197" t="str">
            <v>Chinese Centre for Disease Control and Prevention</v>
          </cell>
        </row>
        <row r="198">
          <cell r="B198" t="str">
            <v>CHN-304-G03-H</v>
          </cell>
          <cell r="C198" t="str">
            <v>Financial Closure</v>
          </cell>
          <cell r="D198" t="str">
            <v>High Impact Asia</v>
          </cell>
          <cell r="E198" t="str">
            <v>CHN</v>
          </cell>
          <cell r="F198" t="str">
            <v>Chinese Centre for Disease Control and Prevention</v>
          </cell>
        </row>
        <row r="199">
          <cell r="B199" t="str">
            <v>CHN-405-G04-T</v>
          </cell>
          <cell r="C199" t="str">
            <v>Administratively Closed</v>
          </cell>
          <cell r="D199" t="str">
            <v>High Impact Asia</v>
          </cell>
          <cell r="E199" t="str">
            <v>CHN</v>
          </cell>
          <cell r="F199" t="str">
            <v>Chinese Centre for Disease Control and Prevention</v>
          </cell>
        </row>
        <row r="200">
          <cell r="B200" t="str">
            <v>CHN-405-G05-H</v>
          </cell>
          <cell r="C200" t="str">
            <v>Administratively Closed</v>
          </cell>
          <cell r="D200" t="str">
            <v>High Impact Asia</v>
          </cell>
          <cell r="E200" t="str">
            <v>CHN</v>
          </cell>
          <cell r="F200" t="str">
            <v>Chinese Centre for Disease Control and Prevention</v>
          </cell>
        </row>
        <row r="201">
          <cell r="B201" t="str">
            <v>CHN-506-G06-H</v>
          </cell>
          <cell r="C201" t="str">
            <v>Administratively Closed</v>
          </cell>
          <cell r="D201" t="str">
            <v>High Impact Asia</v>
          </cell>
          <cell r="E201" t="str">
            <v>CHN</v>
          </cell>
          <cell r="F201" t="str">
            <v>Chinese Centre for Disease Control and Prevention</v>
          </cell>
        </row>
        <row r="202">
          <cell r="B202" t="str">
            <v>CHN-506-G07-M</v>
          </cell>
          <cell r="C202" t="str">
            <v>Administratively Closed</v>
          </cell>
          <cell r="D202" t="str">
            <v>High Impact Asia</v>
          </cell>
          <cell r="E202" t="str">
            <v>CHN</v>
          </cell>
          <cell r="F202" t="str">
            <v>Chinese Centre for Disease Control and Prevention</v>
          </cell>
        </row>
        <row r="203">
          <cell r="B203" t="str">
            <v>CHN-506-G08-T</v>
          </cell>
          <cell r="C203" t="str">
            <v>Administratively Closed</v>
          </cell>
          <cell r="D203" t="str">
            <v>High Impact Asia</v>
          </cell>
          <cell r="E203" t="str">
            <v>CHN</v>
          </cell>
          <cell r="F203" t="str">
            <v>Chinese Centre for Disease Control and Prevention</v>
          </cell>
        </row>
        <row r="204">
          <cell r="B204" t="str">
            <v>CHN-607-G09-M</v>
          </cell>
          <cell r="C204" t="str">
            <v>Financially Closed</v>
          </cell>
          <cell r="D204" t="str">
            <v>High Impact Asia</v>
          </cell>
          <cell r="E204" t="str">
            <v>CHN</v>
          </cell>
          <cell r="F204" t="str">
            <v>Chinese Centre for Disease Control and Prevention</v>
          </cell>
        </row>
        <row r="205">
          <cell r="B205" t="str">
            <v>CHN-607-G10-H</v>
          </cell>
          <cell r="C205" t="str">
            <v>Administratively Closed</v>
          </cell>
          <cell r="D205" t="str">
            <v>High Impact Asia</v>
          </cell>
          <cell r="E205" t="str">
            <v>CHN</v>
          </cell>
          <cell r="F205" t="str">
            <v>Chinese Centre for Disease Control and Prevention</v>
          </cell>
        </row>
        <row r="206">
          <cell r="B206" t="str">
            <v>CHN-708-G11-T</v>
          </cell>
          <cell r="C206" t="str">
            <v>Administratively Closed</v>
          </cell>
          <cell r="D206" t="str">
            <v>High Impact Asia</v>
          </cell>
          <cell r="E206" t="str">
            <v>CHN</v>
          </cell>
          <cell r="F206" t="str">
            <v>Chinese Centre for Disease Control and Prevention</v>
          </cell>
        </row>
        <row r="207">
          <cell r="B207" t="str">
            <v>CHN-809-G12-T</v>
          </cell>
          <cell r="C207" t="str">
            <v>Administratively Closed</v>
          </cell>
          <cell r="D207" t="str">
            <v>High Impact Asia</v>
          </cell>
          <cell r="E207" t="str">
            <v>CHN</v>
          </cell>
          <cell r="F207" t="str">
            <v>Chinese Centre for Disease Control and Prevention</v>
          </cell>
        </row>
        <row r="208">
          <cell r="B208" t="str">
            <v>CHN-S10-G13-M</v>
          </cell>
          <cell r="C208" t="str">
            <v>Financially Closed</v>
          </cell>
          <cell r="D208" t="str">
            <v>High Impact Asia</v>
          </cell>
          <cell r="E208" t="str">
            <v>CHN</v>
          </cell>
          <cell r="F208" t="str">
            <v>Chinese Centre for Disease Control and Prevention</v>
          </cell>
        </row>
        <row r="209">
          <cell r="B209" t="str">
            <v>CHN-S10-G14-T</v>
          </cell>
          <cell r="C209" t="str">
            <v>Financial Closure</v>
          </cell>
          <cell r="D209" t="str">
            <v>High Impact Asia</v>
          </cell>
          <cell r="E209" t="str">
            <v>CHN</v>
          </cell>
          <cell r="F209" t="str">
            <v>Chinese Centre for Disease Control and Prevention</v>
          </cell>
        </row>
        <row r="210">
          <cell r="B210" t="str">
            <v>COL-011-G05-T</v>
          </cell>
          <cell r="C210" t="str">
            <v>Active</v>
          </cell>
          <cell r="D210" t="str">
            <v>Latin America and Caribbean</v>
          </cell>
          <cell r="E210" t="str">
            <v>COL</v>
          </cell>
          <cell r="F210" t="str">
            <v>Fondo Financiero de Proyectos de Desarrollo FONADE</v>
          </cell>
        </row>
        <row r="211">
          <cell r="B211" t="str">
            <v>COL-011-G06-T</v>
          </cell>
          <cell r="C211" t="str">
            <v>Active</v>
          </cell>
          <cell r="D211" t="str">
            <v>Latin America and Caribbean</v>
          </cell>
          <cell r="E211" t="str">
            <v>COL</v>
          </cell>
          <cell r="F211" t="str">
            <v>International Organization for Migration, Colombia</v>
          </cell>
        </row>
        <row r="212">
          <cell r="B212" t="str">
            <v>COL-202-G01-H-00</v>
          </cell>
          <cell r="C212" t="str">
            <v>Administratively Closed</v>
          </cell>
          <cell r="D212" t="str">
            <v>Latin America and Caribbean</v>
          </cell>
          <cell r="E212" t="str">
            <v>COL</v>
          </cell>
          <cell r="F212" t="str">
            <v>International Organization for Migration, Colombia</v>
          </cell>
        </row>
        <row r="213">
          <cell r="B213" t="str">
            <v>COL-809-G02-M</v>
          </cell>
          <cell r="C213" t="str">
            <v>Active</v>
          </cell>
          <cell r="D213" t="str">
            <v>Latin America and Caribbean</v>
          </cell>
          <cell r="E213" t="str">
            <v>COL</v>
          </cell>
          <cell r="F213" t="str">
            <v>Fundación Universidad Antioquia</v>
          </cell>
        </row>
        <row r="214">
          <cell r="B214" t="str">
            <v>COL-809-G03-M</v>
          </cell>
          <cell r="C214" t="str">
            <v>Active</v>
          </cell>
          <cell r="D214" t="str">
            <v>Latin America and Caribbean</v>
          </cell>
          <cell r="E214" t="str">
            <v>COL</v>
          </cell>
          <cell r="F214" t="str">
            <v>Fondo Financiero de Proyectos de Desarrollo FONADE</v>
          </cell>
        </row>
        <row r="215">
          <cell r="B215" t="str">
            <v>COL-911-G04-H</v>
          </cell>
          <cell r="C215" t="str">
            <v>Active</v>
          </cell>
          <cell r="D215" t="str">
            <v>Latin America and Caribbean</v>
          </cell>
          <cell r="E215" t="str">
            <v>COL</v>
          </cell>
          <cell r="F215" t="str">
            <v>Cooperative Housing Foundation International, USA</v>
          </cell>
        </row>
        <row r="216">
          <cell r="B216" t="str">
            <v>COM-202-G01-M-00</v>
          </cell>
          <cell r="C216" t="str">
            <v>Administratively Closed</v>
          </cell>
          <cell r="D216" t="str">
            <v>Southern and Eastern Africa</v>
          </cell>
          <cell r="E216" t="str">
            <v>COM</v>
          </cell>
          <cell r="F216" t="str">
            <v>Association Comorienne pour le Bien-Etre de la Famille (ASCOBEF)</v>
          </cell>
        </row>
        <row r="217">
          <cell r="B217" t="str">
            <v>COM-304-G02-H</v>
          </cell>
          <cell r="C217" t="str">
            <v>Administratively Closed</v>
          </cell>
          <cell r="D217" t="str">
            <v>Southern and Eastern Africa</v>
          </cell>
          <cell r="E217" t="str">
            <v>COM</v>
          </cell>
          <cell r="F217" t="str">
            <v>Association Comorienne pour le Bien-Etre de la Famille (ASCOBEF)</v>
          </cell>
        </row>
        <row r="218">
          <cell r="B218" t="str">
            <v>COM-810-G03-M</v>
          </cell>
          <cell r="C218" t="str">
            <v>Active</v>
          </cell>
          <cell r="D218" t="str">
            <v>Southern and Eastern Africa</v>
          </cell>
          <cell r="E218" t="str">
            <v>COM</v>
          </cell>
          <cell r="F218" t="str">
            <v>Association Comorienne pour le Bien-Etre de la Famille (ASCOBEF)</v>
          </cell>
        </row>
        <row r="219">
          <cell r="B219" t="str">
            <v>COM-910-G04-H</v>
          </cell>
          <cell r="C219" t="str">
            <v>Active</v>
          </cell>
          <cell r="D219" t="str">
            <v>Southern and Eastern Africa</v>
          </cell>
          <cell r="E219" t="str">
            <v>COM</v>
          </cell>
          <cell r="F219" t="str">
            <v>Ministry of Health of Comoros</v>
          </cell>
        </row>
        <row r="220">
          <cell r="B220" t="str">
            <v>COG-506-G01-H</v>
          </cell>
          <cell r="C220" t="str">
            <v>Financial Closure</v>
          </cell>
          <cell r="D220" t="str">
            <v>Central Africa</v>
          </cell>
          <cell r="E220" t="str">
            <v>COG</v>
          </cell>
          <cell r="F220" t="str">
            <v>Conseil National de Lutte Contre le Sida, Congo</v>
          </cell>
        </row>
        <row r="221">
          <cell r="B221" t="str">
            <v>COG-810-G02-T</v>
          </cell>
          <cell r="C221" t="str">
            <v>Active</v>
          </cell>
          <cell r="D221" t="str">
            <v>Central Africa</v>
          </cell>
          <cell r="E221" t="str">
            <v>COG</v>
          </cell>
          <cell r="F221" t="str">
            <v>Ministry of Health of Republic of Congo</v>
          </cell>
        </row>
        <row r="222">
          <cell r="B222" t="str">
            <v>COG-810-G03-M</v>
          </cell>
          <cell r="C222" t="str">
            <v>Financial Closure</v>
          </cell>
          <cell r="D222" t="str">
            <v>Central Africa</v>
          </cell>
          <cell r="E222" t="str">
            <v>COG</v>
          </cell>
          <cell r="F222" t="str">
            <v>Ministry of Health of Republic of Congo</v>
          </cell>
        </row>
        <row r="223">
          <cell r="B223" t="str">
            <v>COG-810-G04-M</v>
          </cell>
          <cell r="C223" t="str">
            <v>Financial Closure</v>
          </cell>
          <cell r="D223" t="str">
            <v>Central Africa</v>
          </cell>
          <cell r="E223" t="str">
            <v>COG</v>
          </cell>
          <cell r="F223" t="str">
            <v>Medecins d'Afrique</v>
          </cell>
        </row>
        <row r="224">
          <cell r="B224" t="str">
            <v>COG-911-G05-H</v>
          </cell>
          <cell r="C224" t="str">
            <v>Active</v>
          </cell>
          <cell r="D224" t="str">
            <v>Central Africa</v>
          </cell>
          <cell r="E224" t="str">
            <v>COG</v>
          </cell>
          <cell r="F224" t="str">
            <v>French Red Cross</v>
          </cell>
        </row>
        <row r="225">
          <cell r="B225" t="str">
            <v>COG-911-G06-H</v>
          </cell>
          <cell r="C225" t="str">
            <v>Active</v>
          </cell>
          <cell r="D225" t="str">
            <v>Central Africa</v>
          </cell>
          <cell r="E225" t="str">
            <v>COG</v>
          </cell>
          <cell r="F225" t="str">
            <v>Conseil National de Lutte Contre le Sida, Congo</v>
          </cell>
        </row>
        <row r="226">
          <cell r="B226" t="str">
            <v>COD-M-MOH</v>
          </cell>
          <cell r="C226" t="str">
            <v>Active</v>
          </cell>
          <cell r="D226" t="str">
            <v>High Impact Africa 1</v>
          </cell>
          <cell r="E226" t="str">
            <v>COD</v>
          </cell>
          <cell r="F226" t="str">
            <v>Ministry of Health of Congo Democratic Republic</v>
          </cell>
        </row>
        <row r="227">
          <cell r="B227" t="str">
            <v>COD-M-PSI</v>
          </cell>
          <cell r="C227" t="str">
            <v>Active</v>
          </cell>
          <cell r="D227" t="str">
            <v>High Impact Africa 1</v>
          </cell>
          <cell r="E227" t="str">
            <v>COD</v>
          </cell>
          <cell r="F227" t="str">
            <v>Population Services International, USA</v>
          </cell>
        </row>
        <row r="228">
          <cell r="B228" t="str">
            <v>COD-M-SANRU</v>
          </cell>
          <cell r="C228" t="str">
            <v>Active</v>
          </cell>
          <cell r="D228" t="str">
            <v>High Impact Africa 1</v>
          </cell>
          <cell r="E228" t="str">
            <v>COD</v>
          </cell>
          <cell r="F228" t="str">
            <v>Eglise du Christ au Congo / Santé Rurale</v>
          </cell>
        </row>
        <row r="229">
          <cell r="B229" t="str">
            <v>ZAR-202-G01-T-00</v>
          </cell>
          <cell r="C229" t="str">
            <v>Financial Closure</v>
          </cell>
          <cell r="D229" t="str">
            <v>High Impact Africa 1</v>
          </cell>
          <cell r="E229" t="str">
            <v>COD</v>
          </cell>
          <cell r="F229" t="str">
            <v>United Nations Development Programme, Democratic Republic of Congo</v>
          </cell>
        </row>
        <row r="230">
          <cell r="B230" t="str">
            <v>ZAR-304-G02-H</v>
          </cell>
          <cell r="C230" t="str">
            <v>Financial Closure</v>
          </cell>
          <cell r="D230" t="str">
            <v>High Impact Africa 1</v>
          </cell>
          <cell r="E230" t="str">
            <v>COD</v>
          </cell>
          <cell r="F230" t="str">
            <v>United Nations Development Programme, Democratic Republic of Congo</v>
          </cell>
        </row>
        <row r="231">
          <cell r="B231" t="str">
            <v>ZAR-304-G03-M</v>
          </cell>
          <cell r="C231" t="str">
            <v>Financial Closure</v>
          </cell>
          <cell r="D231" t="str">
            <v>High Impact Africa 1</v>
          </cell>
          <cell r="E231" t="str">
            <v>COD</v>
          </cell>
          <cell r="F231" t="str">
            <v>United Nations Development Programme, Democratic Republic of Congo</v>
          </cell>
        </row>
        <row r="232">
          <cell r="B232" t="str">
            <v>ZAR-506-G04-T</v>
          </cell>
          <cell r="C232" t="str">
            <v>Financial Closure</v>
          </cell>
          <cell r="D232" t="str">
            <v>High Impact Africa 1</v>
          </cell>
          <cell r="E232" t="str">
            <v>COD</v>
          </cell>
          <cell r="F232" t="str">
            <v>United Nations Development Programme, Democratic Republic of Congo</v>
          </cell>
        </row>
        <row r="233">
          <cell r="B233" t="str">
            <v>ZAR-607-G05-T</v>
          </cell>
          <cell r="C233" t="str">
            <v>Administratively Closed</v>
          </cell>
          <cell r="D233" t="str">
            <v>High Impact Africa 1</v>
          </cell>
          <cell r="E233" t="str">
            <v>COD</v>
          </cell>
          <cell r="F233" t="str">
            <v>United Nations Development Programme, Democratic Republic of Congo</v>
          </cell>
        </row>
        <row r="234">
          <cell r="B234" t="str">
            <v>ZAR-708-G06-H</v>
          </cell>
          <cell r="C234" t="str">
            <v>Financial Closure</v>
          </cell>
          <cell r="D234" t="str">
            <v>High Impact Africa 1</v>
          </cell>
          <cell r="E234" t="str">
            <v>COD</v>
          </cell>
          <cell r="F234" t="str">
            <v>United Nations Development Programme, Democratic Republic of Congo</v>
          </cell>
        </row>
        <row r="235">
          <cell r="B235" t="str">
            <v>ZAR-809-G07-M</v>
          </cell>
          <cell r="C235" t="str">
            <v>Administratively Closed</v>
          </cell>
          <cell r="D235" t="str">
            <v>High Impact Africa 1</v>
          </cell>
          <cell r="E235" t="str">
            <v>COD</v>
          </cell>
          <cell r="F235" t="str">
            <v>Population Services International, DRC</v>
          </cell>
        </row>
        <row r="236">
          <cell r="B236" t="str">
            <v>ZAR-809-G10-H</v>
          </cell>
          <cell r="C236" t="str">
            <v>Financial Closure</v>
          </cell>
          <cell r="D236" t="str">
            <v>High Impact Africa 1</v>
          </cell>
          <cell r="E236" t="str">
            <v>COD</v>
          </cell>
          <cell r="F236" t="str">
            <v>United Nations Development Programme, Democratic Republic of Congo</v>
          </cell>
        </row>
        <row r="237">
          <cell r="B237" t="str">
            <v>ZAR-810-G08-M</v>
          </cell>
          <cell r="C237" t="str">
            <v>Administratively Closed</v>
          </cell>
          <cell r="D237" t="str">
            <v>High Impact Africa 1</v>
          </cell>
          <cell r="E237" t="str">
            <v>COD</v>
          </cell>
          <cell r="F237" t="str">
            <v>Eglise du Christ au Congo / Santé Rurale</v>
          </cell>
        </row>
        <row r="238">
          <cell r="B238" t="str">
            <v>ZAR-810-G09-M</v>
          </cell>
          <cell r="C238" t="str">
            <v>Financial Closure</v>
          </cell>
          <cell r="D238" t="str">
            <v>High Impact Africa 1</v>
          </cell>
          <cell r="E238" t="str">
            <v>COD</v>
          </cell>
          <cell r="F238" t="str">
            <v>United Nations Development Programme, Democratic Republic of Congo</v>
          </cell>
        </row>
        <row r="239">
          <cell r="B239" t="str">
            <v>ZAR-810-G11-H</v>
          </cell>
          <cell r="C239" t="str">
            <v>Administratively Closed</v>
          </cell>
          <cell r="D239" t="str">
            <v>High Impact Africa 1</v>
          </cell>
          <cell r="E239" t="str">
            <v>COD</v>
          </cell>
          <cell r="F239" t="str">
            <v>Catholic Organisation for Relief and Development Aid, Congo</v>
          </cell>
        </row>
        <row r="240">
          <cell r="B240" t="str">
            <v>ZAR-810-G12-H</v>
          </cell>
          <cell r="C240" t="str">
            <v>Administratively Closed</v>
          </cell>
          <cell r="D240" t="str">
            <v>High Impact Africa 1</v>
          </cell>
          <cell r="E240" t="str">
            <v>COD</v>
          </cell>
          <cell r="F240" t="str">
            <v>Eglise du Christ au Congo / Santé Rurale</v>
          </cell>
        </row>
        <row r="241">
          <cell r="B241" t="str">
            <v>ZAR-911-G13-T</v>
          </cell>
          <cell r="C241" t="str">
            <v>Active</v>
          </cell>
          <cell r="D241" t="str">
            <v>High Impact Africa 1</v>
          </cell>
          <cell r="E241" t="str">
            <v>COD</v>
          </cell>
          <cell r="F241" t="str">
            <v>Ministry of Health of Congo Democratic Republic</v>
          </cell>
        </row>
        <row r="242">
          <cell r="B242" t="str">
            <v>ZAR-911-G14-T</v>
          </cell>
          <cell r="C242" t="str">
            <v>Active</v>
          </cell>
          <cell r="D242" t="str">
            <v>High Impact Africa 1</v>
          </cell>
          <cell r="E242" t="str">
            <v>COD</v>
          </cell>
          <cell r="F242" t="str">
            <v>Caritas Congo</v>
          </cell>
        </row>
        <row r="243">
          <cell r="B243" t="str">
            <v>ZAR-H-CORDAID</v>
          </cell>
          <cell r="C243" t="str">
            <v>Active</v>
          </cell>
          <cell r="D243" t="str">
            <v>High Impact Africa 1</v>
          </cell>
          <cell r="E243" t="str">
            <v>COD</v>
          </cell>
          <cell r="F243" t="str">
            <v>Catholic Organisation for Relief and Development Aid, Congo</v>
          </cell>
        </row>
        <row r="244">
          <cell r="B244" t="str">
            <v>ZAR-H-SANRU</v>
          </cell>
          <cell r="C244" t="str">
            <v>Active</v>
          </cell>
          <cell r="D244" t="str">
            <v>High Impact Africa 1</v>
          </cell>
          <cell r="E244" t="str">
            <v>COD</v>
          </cell>
          <cell r="F244" t="str">
            <v>Eglise du Christ au Congo / Santé Rurale</v>
          </cell>
        </row>
        <row r="245">
          <cell r="B245" t="str">
            <v>ZAR-M-MOH</v>
          </cell>
          <cell r="C245" t="str">
            <v>Active</v>
          </cell>
          <cell r="D245" t="str">
            <v>High Impact Africa 1</v>
          </cell>
          <cell r="E245" t="str">
            <v>COD</v>
          </cell>
          <cell r="F245" t="str">
            <v>Ministry of Health of Congo Democratic Republic</v>
          </cell>
        </row>
        <row r="246">
          <cell r="B246" t="str">
            <v>ZAR-M-PSI</v>
          </cell>
          <cell r="C246" t="str">
            <v>Active</v>
          </cell>
          <cell r="D246" t="str">
            <v>High Impact Africa 1</v>
          </cell>
          <cell r="E246" t="str">
            <v>COD</v>
          </cell>
          <cell r="F246" t="str">
            <v>Population Services International, USA</v>
          </cell>
        </row>
        <row r="247">
          <cell r="B247" t="str">
            <v>ZAR-S-MOH</v>
          </cell>
          <cell r="C247" t="str">
            <v>Active</v>
          </cell>
          <cell r="D247" t="str">
            <v>High Impact Africa 1</v>
          </cell>
          <cell r="E247" t="str">
            <v>COD</v>
          </cell>
          <cell r="F247" t="str">
            <v>Ministry of Health of Congo Democratic Republic</v>
          </cell>
        </row>
        <row r="248">
          <cell r="B248" t="str">
            <v>COR-202-G01-H-00</v>
          </cell>
          <cell r="C248" t="str">
            <v>Administratively Closed</v>
          </cell>
          <cell r="D248" t="str">
            <v>Latin America and Caribbean</v>
          </cell>
          <cell r="E248" t="str">
            <v>CRI</v>
          </cell>
          <cell r="F248" t="str">
            <v>Consejo Técnico de Asistencia Médico Social</v>
          </cell>
        </row>
        <row r="249">
          <cell r="B249" t="str">
            <v>COR-202-G02-H-00</v>
          </cell>
          <cell r="C249" t="str">
            <v>Administratively Closed</v>
          </cell>
          <cell r="D249" t="str">
            <v>Latin America and Caribbean</v>
          </cell>
          <cell r="E249" t="str">
            <v>CRI</v>
          </cell>
          <cell r="F249" t="str">
            <v>Humanist Institute for Cooperation with Developing Countries</v>
          </cell>
        </row>
        <row r="250">
          <cell r="B250" t="str">
            <v>HRV-202-G01-H-00</v>
          </cell>
          <cell r="C250" t="str">
            <v>Administratively Closed</v>
          </cell>
          <cell r="D250" t="str">
            <v>Eastern Europe and Central Asia</v>
          </cell>
          <cell r="E250" t="str">
            <v>HRV</v>
          </cell>
          <cell r="F250" t="str">
            <v>Ministry of Health and Social Welfare of Croatia</v>
          </cell>
        </row>
        <row r="251">
          <cell r="B251" t="str">
            <v>CUB-202-G01-H-00</v>
          </cell>
          <cell r="C251" t="str">
            <v>Active</v>
          </cell>
          <cell r="D251" t="str">
            <v>Latin America and Caribbean</v>
          </cell>
          <cell r="E251" t="str">
            <v>CUB</v>
          </cell>
          <cell r="F251" t="str">
            <v>United Nations Development Programme, Cuba</v>
          </cell>
        </row>
        <row r="252">
          <cell r="B252" t="str">
            <v>CUB-607-G02-H</v>
          </cell>
          <cell r="C252" t="str">
            <v>Financial Closure</v>
          </cell>
          <cell r="D252" t="str">
            <v>Latin America and Caribbean</v>
          </cell>
          <cell r="E252" t="str">
            <v>CUB</v>
          </cell>
          <cell r="F252" t="str">
            <v>United Nations Development Programme, Cuba</v>
          </cell>
        </row>
        <row r="253">
          <cell r="B253" t="str">
            <v>CUB-708-G03-T</v>
          </cell>
          <cell r="C253" t="str">
            <v>Financial Closure</v>
          </cell>
          <cell r="D253" t="str">
            <v>Latin America and Caribbean</v>
          </cell>
          <cell r="E253" t="str">
            <v>CUB</v>
          </cell>
          <cell r="F253" t="str">
            <v>United Nations Development Programme, Cuba</v>
          </cell>
        </row>
        <row r="254">
          <cell r="B254" t="str">
            <v>CUB-H-UNDP</v>
          </cell>
          <cell r="C254" t="str">
            <v>Active</v>
          </cell>
          <cell r="D254" t="str">
            <v>Latin America and Caribbean</v>
          </cell>
          <cell r="E254" t="str">
            <v>CUB</v>
          </cell>
          <cell r="F254" t="str">
            <v>United Nations Development Programme, Cuba</v>
          </cell>
        </row>
        <row r="255">
          <cell r="B255" t="str">
            <v>CIV-202-G01-H-00</v>
          </cell>
          <cell r="C255" t="str">
            <v>Administratively Closed</v>
          </cell>
          <cell r="D255" t="str">
            <v>High Impact Africa 1</v>
          </cell>
          <cell r="E255" t="str">
            <v>CIV</v>
          </cell>
          <cell r="F255" t="str">
            <v>United Nations Development Programme, Cote d'Ivoire</v>
          </cell>
        </row>
        <row r="256">
          <cell r="B256" t="str">
            <v>CIV-202-G05-H</v>
          </cell>
          <cell r="C256" t="str">
            <v>Financial Closure</v>
          </cell>
          <cell r="D256" t="str">
            <v>High Impact Africa 1</v>
          </cell>
          <cell r="E256" t="str">
            <v>CIV</v>
          </cell>
          <cell r="F256" t="str">
            <v>CARE Cote d'Ivoire</v>
          </cell>
        </row>
        <row r="257">
          <cell r="B257" t="str">
            <v>CIV-304-G02-H</v>
          </cell>
          <cell r="C257" t="str">
            <v>Financial Closure</v>
          </cell>
          <cell r="D257" t="str">
            <v>High Impact Africa 1</v>
          </cell>
          <cell r="E257" t="str">
            <v>CIV</v>
          </cell>
          <cell r="F257" t="str">
            <v>CARE Cote d'Ivoire</v>
          </cell>
        </row>
        <row r="258">
          <cell r="B258" t="str">
            <v>CIV-304-G03-T</v>
          </cell>
          <cell r="C258" t="str">
            <v>Financial Closure</v>
          </cell>
          <cell r="D258" t="str">
            <v>High Impact Africa 1</v>
          </cell>
          <cell r="E258" t="str">
            <v>CIV</v>
          </cell>
          <cell r="F258" t="str">
            <v>United Nations Development Programme, Cote d'Ivoire</v>
          </cell>
        </row>
        <row r="259">
          <cell r="B259" t="str">
            <v>CIV-506-G04-H</v>
          </cell>
          <cell r="C259" t="str">
            <v>Financial Closure</v>
          </cell>
          <cell r="D259" t="str">
            <v>High Impact Africa 1</v>
          </cell>
          <cell r="E259" t="str">
            <v>CIV</v>
          </cell>
          <cell r="F259" t="str">
            <v>CARE Cote d'Ivoire</v>
          </cell>
        </row>
        <row r="260">
          <cell r="B260" t="str">
            <v>CIV-607-G06-M</v>
          </cell>
          <cell r="C260" t="str">
            <v>Financial Closure</v>
          </cell>
          <cell r="D260" t="str">
            <v>High Impact Africa 1</v>
          </cell>
          <cell r="E260" t="str">
            <v>CIV</v>
          </cell>
          <cell r="F260" t="str">
            <v>CARE Cote d'Ivoire</v>
          </cell>
        </row>
        <row r="261">
          <cell r="B261" t="str">
            <v>CIV-607-G07-T</v>
          </cell>
          <cell r="C261" t="str">
            <v>Administratively Closed</v>
          </cell>
          <cell r="D261" t="str">
            <v>High Impact Africa 1</v>
          </cell>
          <cell r="E261" t="str">
            <v>CIV</v>
          </cell>
          <cell r="F261" t="str">
            <v>NTBP</v>
          </cell>
        </row>
        <row r="262">
          <cell r="B262" t="str">
            <v>CIV-809-G08-M</v>
          </cell>
          <cell r="C262" t="str">
            <v>Active</v>
          </cell>
          <cell r="D262" t="str">
            <v>High Impact Africa 1</v>
          </cell>
          <cell r="E262" t="str">
            <v>CIV</v>
          </cell>
          <cell r="F262" t="str">
            <v>CARE Cote d'Ivoire</v>
          </cell>
        </row>
        <row r="263">
          <cell r="B263" t="str">
            <v>CIV-809-G09-M</v>
          </cell>
          <cell r="C263" t="str">
            <v>Active</v>
          </cell>
          <cell r="D263" t="str">
            <v>High Impact Africa 1</v>
          </cell>
          <cell r="E263" t="str">
            <v>CIV</v>
          </cell>
          <cell r="F263" t="str">
            <v>National Program for Malaria Control</v>
          </cell>
        </row>
        <row r="264">
          <cell r="B264" t="str">
            <v>CIV-910-G12-H</v>
          </cell>
          <cell r="C264" t="str">
            <v>Active</v>
          </cell>
          <cell r="D264" t="str">
            <v>High Impact Africa 1</v>
          </cell>
          <cell r="E264" t="str">
            <v>CIV</v>
          </cell>
          <cell r="F264" t="str">
            <v>National Program for the Care of HIV/AIDS patients</v>
          </cell>
        </row>
        <row r="265">
          <cell r="B265" t="str">
            <v>CIV-910-G13-H</v>
          </cell>
          <cell r="C265" t="str">
            <v>Active</v>
          </cell>
          <cell r="D265" t="str">
            <v>High Impact Africa 1</v>
          </cell>
          <cell r="E265" t="str">
            <v>CIV</v>
          </cell>
          <cell r="F265" t="str">
            <v>Alliance Nationale Contre le SIDA, Cote d'Ivoire</v>
          </cell>
        </row>
        <row r="266">
          <cell r="B266" t="str">
            <v>CIV-S10-G10-T</v>
          </cell>
          <cell r="C266" t="str">
            <v>Active</v>
          </cell>
          <cell r="D266" t="str">
            <v>High Impact Africa 1</v>
          </cell>
          <cell r="E266" t="str">
            <v>CIV</v>
          </cell>
          <cell r="F266" t="str">
            <v>NTBP</v>
          </cell>
        </row>
        <row r="267">
          <cell r="B267" t="str">
            <v>CIV-S10-G11-T</v>
          </cell>
          <cell r="C267" t="str">
            <v>Active</v>
          </cell>
          <cell r="D267" t="str">
            <v>High Impact Africa 1</v>
          </cell>
          <cell r="E267" t="str">
            <v>CIV</v>
          </cell>
          <cell r="F267" t="str">
            <v>Caritas Côte d'Ivoire</v>
          </cell>
        </row>
        <row r="268">
          <cell r="B268" t="str">
            <v>DJB-013-G06-T</v>
          </cell>
          <cell r="C268" t="str">
            <v>Active</v>
          </cell>
          <cell r="D268" t="str">
            <v>Middle East and North Africa</v>
          </cell>
          <cell r="E268" t="str">
            <v>DJI</v>
          </cell>
          <cell r="F268" t="str">
            <v>United Nations Development Program, Djibouti</v>
          </cell>
        </row>
        <row r="269">
          <cell r="B269" t="str">
            <v>DJB-404-G01-H</v>
          </cell>
          <cell r="C269" t="str">
            <v>Financial Closure</v>
          </cell>
          <cell r="D269" t="str">
            <v>Middle East and North Africa</v>
          </cell>
          <cell r="E269" t="str">
            <v>DJI</v>
          </cell>
          <cell r="F269" t="str">
            <v>Secrétariat Exécutif de Lutte contre le Sida la Tuberculose et le Paludisme</v>
          </cell>
        </row>
        <row r="270">
          <cell r="B270" t="str">
            <v>DJB-607-G02-M</v>
          </cell>
          <cell r="C270" t="str">
            <v>Financial Closure</v>
          </cell>
          <cell r="D270" t="str">
            <v>Middle East and North Africa</v>
          </cell>
          <cell r="E270" t="str">
            <v>DJI</v>
          </cell>
          <cell r="F270" t="str">
            <v>Secrétariat Exécutif de Lutte contre le Sida la Tuberculose et le Paludisme</v>
          </cell>
        </row>
        <row r="271">
          <cell r="B271" t="str">
            <v>DJB-607-G03-T</v>
          </cell>
          <cell r="C271" t="str">
            <v>Financial Closure</v>
          </cell>
          <cell r="D271" t="str">
            <v>Middle East and North Africa</v>
          </cell>
          <cell r="E271" t="str">
            <v>DJI</v>
          </cell>
          <cell r="F271" t="str">
            <v>Secrétariat Exécutif de Lutte contre le Sida la Tuberculose et le Paludisme</v>
          </cell>
        </row>
        <row r="272">
          <cell r="B272" t="str">
            <v>DJB-607-G04-H</v>
          </cell>
          <cell r="C272" t="str">
            <v>Financial Closure</v>
          </cell>
          <cell r="D272" t="str">
            <v>Middle East and North Africa</v>
          </cell>
          <cell r="E272" t="str">
            <v>DJI</v>
          </cell>
          <cell r="F272" t="str">
            <v>Secrétariat Exécutif de Lutte contre le Sida la Tuberculose et le Paludisme</v>
          </cell>
        </row>
        <row r="273">
          <cell r="B273" t="str">
            <v>DJB-613-G05-H</v>
          </cell>
          <cell r="C273" t="str">
            <v>Active</v>
          </cell>
          <cell r="D273" t="str">
            <v>Middle East and North Africa</v>
          </cell>
          <cell r="E273" t="str">
            <v>DJI</v>
          </cell>
          <cell r="F273" t="str">
            <v>United Nations Development Program, Djibouti</v>
          </cell>
        </row>
        <row r="274">
          <cell r="B274" t="str">
            <v>DJB-M-NEWPH</v>
          </cell>
          <cell r="C274" t="str">
            <v>N.D.</v>
          </cell>
          <cell r="D274" t="str">
            <v>Middle East and North Africa</v>
          </cell>
          <cell r="E274" t="str">
            <v>DJI</v>
          </cell>
          <cell r="F274" t="str">
            <v>Not Defined</v>
          </cell>
        </row>
        <row r="275">
          <cell r="B275" t="str">
            <v>DMR-202-G01-H-00</v>
          </cell>
          <cell r="C275" t="str">
            <v>Active</v>
          </cell>
          <cell r="D275" t="str">
            <v>Latin America and Caribbean</v>
          </cell>
          <cell r="E275" t="str">
            <v>DOM</v>
          </cell>
          <cell r="F275" t="str">
            <v>Consejo NAcional para el VIH y el SIDA</v>
          </cell>
        </row>
        <row r="276">
          <cell r="B276" t="str">
            <v>DMR-202-G04-H-00</v>
          </cell>
          <cell r="C276" t="str">
            <v>Active</v>
          </cell>
          <cell r="D276" t="str">
            <v>Latin America and Caribbean</v>
          </cell>
          <cell r="E276" t="str">
            <v>DOM</v>
          </cell>
          <cell r="F276" t="str">
            <v>Instituto Dermatologico y Cirugia de Piel</v>
          </cell>
        </row>
        <row r="277">
          <cell r="B277" t="str">
            <v>DMR-304-G02-T</v>
          </cell>
          <cell r="C277" t="str">
            <v>Administratively Closed</v>
          </cell>
          <cell r="D277" t="str">
            <v>Latin America and Caribbean</v>
          </cell>
          <cell r="E277" t="str">
            <v>DOM</v>
          </cell>
          <cell r="F277" t="str">
            <v>Asociación Dominicana Pro-Bienestar de la Familia (PROFAMILIA)</v>
          </cell>
        </row>
        <row r="278">
          <cell r="B278" t="str">
            <v>DMR-309-G07-T</v>
          </cell>
          <cell r="C278" t="str">
            <v>Active</v>
          </cell>
          <cell r="D278" t="str">
            <v>Latin America and Caribbean</v>
          </cell>
          <cell r="E278" t="str">
            <v>DOM</v>
          </cell>
          <cell r="F278" t="str">
            <v>Subsecretaria de Estado de Salud Colectiva, Ministry of Health</v>
          </cell>
        </row>
        <row r="279">
          <cell r="B279" t="str">
            <v>DMR-708-G03-T</v>
          </cell>
          <cell r="C279" t="str">
            <v>Administratively Closed</v>
          </cell>
          <cell r="D279" t="str">
            <v>Latin America and Caribbean</v>
          </cell>
          <cell r="E279" t="str">
            <v>DOM</v>
          </cell>
          <cell r="F279" t="str">
            <v>Asociación Dominicana Pro-Bienestar de la Familia (PROFAMILIA)</v>
          </cell>
        </row>
        <row r="280">
          <cell r="B280" t="str">
            <v>DMR-708-G08-T</v>
          </cell>
          <cell r="C280" t="str">
            <v>Administratively Closed</v>
          </cell>
          <cell r="D280" t="str">
            <v>Latin America and Caribbean</v>
          </cell>
          <cell r="E280" t="str">
            <v>DOM</v>
          </cell>
          <cell r="F280" t="str">
            <v>Subsecretaria de Estado de Salud Colectiva, Ministry of Health</v>
          </cell>
        </row>
        <row r="281">
          <cell r="B281" t="str">
            <v>DMR-809-G05-M</v>
          </cell>
          <cell r="C281" t="str">
            <v>Active</v>
          </cell>
          <cell r="D281" t="str">
            <v>Latin America and Caribbean</v>
          </cell>
          <cell r="E281" t="str">
            <v>DOM</v>
          </cell>
          <cell r="F281" t="str">
            <v>Instituto Dermatologico y Cirugia de Piel</v>
          </cell>
        </row>
        <row r="282">
          <cell r="B282" t="str">
            <v>DMR-809-G06-M</v>
          </cell>
          <cell r="C282" t="str">
            <v>Financial Closure</v>
          </cell>
          <cell r="D282" t="str">
            <v>Latin America and Caribbean</v>
          </cell>
          <cell r="E282" t="str">
            <v>DOM</v>
          </cell>
          <cell r="F282" t="str">
            <v>Centro Nacional de Control de Enfermedades Tropicales</v>
          </cell>
        </row>
        <row r="283">
          <cell r="B283" t="str">
            <v>ECU-202-G01-H-00</v>
          </cell>
          <cell r="C283" t="str">
            <v>Administratively Closed</v>
          </cell>
          <cell r="D283" t="str">
            <v>Latin America and Caribbean</v>
          </cell>
          <cell r="E283" t="str">
            <v>ECU</v>
          </cell>
          <cell r="F283" t="str">
            <v>Ministry of Public Health of Ecuador</v>
          </cell>
        </row>
        <row r="284">
          <cell r="B284" t="str">
            <v>ECU-202-G03-H-00</v>
          </cell>
          <cell r="C284" t="str">
            <v>Administratively Closed</v>
          </cell>
          <cell r="D284" t="str">
            <v>Latin America and Caribbean</v>
          </cell>
          <cell r="E284" t="str">
            <v>ECU</v>
          </cell>
          <cell r="F284" t="str">
            <v>CARE Ecuador</v>
          </cell>
        </row>
        <row r="285">
          <cell r="B285" t="str">
            <v>ECU-405-G02-T</v>
          </cell>
          <cell r="C285" t="str">
            <v>Administratively Closed</v>
          </cell>
          <cell r="D285" t="str">
            <v>Latin America and Caribbean</v>
          </cell>
          <cell r="E285" t="str">
            <v>ECU</v>
          </cell>
          <cell r="F285" t="str">
            <v>CARE Ecuador</v>
          </cell>
        </row>
        <row r="286">
          <cell r="B286" t="str">
            <v>ECU-809-G04-M</v>
          </cell>
          <cell r="C286" t="str">
            <v>Active</v>
          </cell>
          <cell r="D286" t="str">
            <v>Latin America and Caribbean</v>
          </cell>
          <cell r="E286" t="str">
            <v>ECU</v>
          </cell>
          <cell r="F286" t="str">
            <v>Unidad Technica Gerencial, Ministry of Health of Ecuador</v>
          </cell>
        </row>
        <row r="287">
          <cell r="B287" t="str">
            <v>ECU-809-G05-M</v>
          </cell>
          <cell r="C287" t="str">
            <v>Active</v>
          </cell>
          <cell r="D287" t="str">
            <v>Latin America and Caribbean</v>
          </cell>
          <cell r="E287" t="str">
            <v>ECU</v>
          </cell>
          <cell r="F287" t="str">
            <v>Corporacion Kimirina</v>
          </cell>
        </row>
        <row r="288">
          <cell r="B288" t="str">
            <v>ECU-910-G06-H</v>
          </cell>
          <cell r="C288" t="str">
            <v>Active</v>
          </cell>
          <cell r="D288" t="str">
            <v>Latin America and Caribbean</v>
          </cell>
          <cell r="E288" t="str">
            <v>ECU</v>
          </cell>
          <cell r="F288" t="str">
            <v>Ministry of Public Health of Ecuador</v>
          </cell>
        </row>
        <row r="289">
          <cell r="B289" t="str">
            <v>ECU-910-G07-H</v>
          </cell>
          <cell r="C289" t="str">
            <v>Active</v>
          </cell>
          <cell r="D289" t="str">
            <v>Latin America and Caribbean</v>
          </cell>
          <cell r="E289" t="str">
            <v>ECU</v>
          </cell>
          <cell r="F289" t="str">
            <v>Corporacion Kimirina</v>
          </cell>
        </row>
        <row r="290">
          <cell r="B290" t="str">
            <v>ECU-910-G08-T</v>
          </cell>
          <cell r="C290" t="str">
            <v>Active</v>
          </cell>
          <cell r="D290" t="str">
            <v>Latin America and Caribbean</v>
          </cell>
          <cell r="E290" t="str">
            <v>ECU</v>
          </cell>
          <cell r="F290" t="str">
            <v>Ministry of Public Health of Ecuador</v>
          </cell>
        </row>
        <row r="291">
          <cell r="B291" t="str">
            <v>ECU-910-G09-T</v>
          </cell>
          <cell r="C291" t="str">
            <v>Active</v>
          </cell>
          <cell r="D291" t="str">
            <v>Latin America and Caribbean</v>
          </cell>
          <cell r="E291" t="str">
            <v>ECU</v>
          </cell>
          <cell r="F291" t="str">
            <v>CARE Ecuador</v>
          </cell>
        </row>
        <row r="292">
          <cell r="B292" t="str">
            <v>EGY-202-G01-T-00</v>
          </cell>
          <cell r="C292" t="str">
            <v>Administratively Closed</v>
          </cell>
          <cell r="D292" t="str">
            <v>Middle East and North Africa</v>
          </cell>
          <cell r="E292" t="str">
            <v>EGY</v>
          </cell>
          <cell r="F292" t="str">
            <v>National Tuberculosis Control Program, Ministry of Health and Population in Egypt</v>
          </cell>
        </row>
        <row r="293">
          <cell r="B293" t="str">
            <v>EGY-607-G02-T</v>
          </cell>
          <cell r="C293" t="str">
            <v>Active</v>
          </cell>
          <cell r="D293" t="str">
            <v>Middle East and North Africa</v>
          </cell>
          <cell r="E293" t="str">
            <v>EGY</v>
          </cell>
          <cell r="F293" t="str">
            <v>National Tuberculosis Control Program, Ministry of Health and Population in Egypt</v>
          </cell>
        </row>
        <row r="294">
          <cell r="B294" t="str">
            <v>EGY-608-G03-H</v>
          </cell>
          <cell r="C294" t="str">
            <v>Active</v>
          </cell>
          <cell r="D294" t="str">
            <v>Middle East and North Africa</v>
          </cell>
          <cell r="E294" t="str">
            <v>EGY</v>
          </cell>
          <cell r="F294" t="str">
            <v>National AIDS Programme, Ministry of Health and Population in Egypt</v>
          </cell>
        </row>
        <row r="295">
          <cell r="B295" t="str">
            <v>SLV-202-G01-H-00</v>
          </cell>
          <cell r="C295" t="str">
            <v>Administratively Closed</v>
          </cell>
          <cell r="D295" t="str">
            <v>Latin America and Caribbean</v>
          </cell>
          <cell r="E295" t="str">
            <v>SLV</v>
          </cell>
          <cell r="F295" t="str">
            <v>United Nations Development Programme, El Salvador</v>
          </cell>
        </row>
        <row r="296">
          <cell r="B296" t="str">
            <v>SLV-202-G02-T-00</v>
          </cell>
          <cell r="C296" t="str">
            <v>Administratively Closed</v>
          </cell>
          <cell r="D296" t="str">
            <v>Latin America and Caribbean</v>
          </cell>
          <cell r="E296" t="str">
            <v>SLV</v>
          </cell>
          <cell r="F296" t="str">
            <v>United Nations Development Programme, El Salvador</v>
          </cell>
        </row>
        <row r="297">
          <cell r="B297" t="str">
            <v>SLV-202-G03-H-00</v>
          </cell>
          <cell r="C297" t="str">
            <v>Administratively Closed</v>
          </cell>
          <cell r="D297" t="str">
            <v>Latin America and Caribbean</v>
          </cell>
          <cell r="E297" t="str">
            <v>SLV</v>
          </cell>
          <cell r="F297" t="str">
            <v>Ministry of Health of El Salvador</v>
          </cell>
        </row>
        <row r="298">
          <cell r="B298" t="str">
            <v>SLV-202-G04-T-00</v>
          </cell>
          <cell r="C298" t="str">
            <v>Administratively Closed</v>
          </cell>
          <cell r="D298" t="str">
            <v>Latin America and Caribbean</v>
          </cell>
          <cell r="E298" t="str">
            <v>SLV</v>
          </cell>
          <cell r="F298" t="str">
            <v>Ministry of Health of El Salvador</v>
          </cell>
        </row>
        <row r="299">
          <cell r="B299" t="str">
            <v>SLV-708-G05-H</v>
          </cell>
          <cell r="C299" t="str">
            <v>Administratively Closed</v>
          </cell>
          <cell r="D299" t="str">
            <v>Latin America and Caribbean</v>
          </cell>
          <cell r="E299" t="str">
            <v>SLV</v>
          </cell>
          <cell r="F299" t="str">
            <v>Ministry of Health of El Salvador</v>
          </cell>
        </row>
        <row r="300">
          <cell r="B300" t="str">
            <v>SLV-708-G06-H</v>
          </cell>
          <cell r="C300" t="str">
            <v>Administratively Closed</v>
          </cell>
          <cell r="D300" t="str">
            <v>Latin America and Caribbean</v>
          </cell>
          <cell r="E300" t="str">
            <v>SLV</v>
          </cell>
          <cell r="F300" t="str">
            <v>United Nations Development Programme, El Salvador</v>
          </cell>
        </row>
        <row r="301">
          <cell r="B301" t="str">
            <v>SLV-910-G07-T</v>
          </cell>
          <cell r="C301" t="str">
            <v>Administratively Closed</v>
          </cell>
          <cell r="D301" t="str">
            <v>Latin America and Caribbean</v>
          </cell>
          <cell r="E301" t="str">
            <v>SLV</v>
          </cell>
          <cell r="F301" t="str">
            <v>United Nations Development Programme, El Salvador</v>
          </cell>
        </row>
        <row r="302">
          <cell r="B302" t="str">
            <v>SLV-910-G08-T</v>
          </cell>
          <cell r="C302" t="str">
            <v>Active</v>
          </cell>
          <cell r="D302" t="str">
            <v>Latin America and Caribbean</v>
          </cell>
          <cell r="E302" t="str">
            <v>SLV</v>
          </cell>
          <cell r="F302" t="str">
            <v>Ministry of Health of El Salvador</v>
          </cell>
        </row>
        <row r="303">
          <cell r="B303" t="str">
            <v>SLV-H-MINSAL</v>
          </cell>
          <cell r="C303" t="str">
            <v>Active</v>
          </cell>
          <cell r="D303" t="str">
            <v>Latin America and Caribbean</v>
          </cell>
          <cell r="E303" t="str">
            <v>SLV</v>
          </cell>
          <cell r="F303" t="str">
            <v>Ministry of Health of El Salvador</v>
          </cell>
        </row>
        <row r="304">
          <cell r="B304" t="str">
            <v>SLV-H-PLAN</v>
          </cell>
          <cell r="C304" t="str">
            <v>Active</v>
          </cell>
          <cell r="D304" t="str">
            <v>Latin America and Caribbean</v>
          </cell>
          <cell r="E304" t="str">
            <v>SLV</v>
          </cell>
          <cell r="F304" t="str">
            <v>Plan El Salvador</v>
          </cell>
        </row>
        <row r="305">
          <cell r="B305" t="str">
            <v>SLV-H-UNDP</v>
          </cell>
          <cell r="C305" t="str">
            <v>Financial Closure</v>
          </cell>
          <cell r="D305" t="str">
            <v>Latin America and Caribbean</v>
          </cell>
          <cell r="E305" t="str">
            <v>SLV</v>
          </cell>
          <cell r="F305" t="str">
            <v>United Nations Development Programme, El Salvador</v>
          </cell>
        </row>
        <row r="306">
          <cell r="B306" t="str">
            <v>GNQ-405-G01-H</v>
          </cell>
          <cell r="C306" t="str">
            <v>Financial Closure</v>
          </cell>
          <cell r="D306" t="str">
            <v>Central Africa</v>
          </cell>
          <cell r="E306" t="str">
            <v>GNQ</v>
          </cell>
          <cell r="F306" t="str">
            <v>United Nations Development Programme, Equatorial Guinea</v>
          </cell>
        </row>
        <row r="307">
          <cell r="B307" t="str">
            <v>GNQ-506-G02-M</v>
          </cell>
          <cell r="C307" t="str">
            <v>Financial Closure</v>
          </cell>
          <cell r="D307" t="str">
            <v>Central Africa</v>
          </cell>
          <cell r="E307" t="str">
            <v>GNQ</v>
          </cell>
          <cell r="F307" t="str">
            <v>Medical Care Development International</v>
          </cell>
        </row>
        <row r="308">
          <cell r="B308" t="str">
            <v>ERI-910-G07-M</v>
          </cell>
          <cell r="C308" t="str">
            <v>Active</v>
          </cell>
          <cell r="D308" t="str">
            <v>Middle East and North Africa</v>
          </cell>
          <cell r="E308" t="str">
            <v>ERI</v>
          </cell>
          <cell r="F308" t="str">
            <v>Ministry of Health of Eritrea</v>
          </cell>
        </row>
        <row r="309">
          <cell r="B309" t="str">
            <v>ERI-H-MOH</v>
          </cell>
          <cell r="C309" t="str">
            <v>Active</v>
          </cell>
          <cell r="D309" t="str">
            <v>Middle East and North Africa</v>
          </cell>
          <cell r="E309" t="str">
            <v>ERI</v>
          </cell>
          <cell r="F309" t="str">
            <v>Ministry of Health of Eritrea</v>
          </cell>
        </row>
        <row r="310">
          <cell r="B310" t="str">
            <v>ERI-T-MOH</v>
          </cell>
          <cell r="C310" t="str">
            <v>Active</v>
          </cell>
          <cell r="D310" t="str">
            <v>Middle East and North Africa</v>
          </cell>
          <cell r="E310" t="str">
            <v>ERI</v>
          </cell>
          <cell r="F310" t="str">
            <v>Ministry of Health of Eritrea</v>
          </cell>
        </row>
        <row r="311">
          <cell r="B311" t="str">
            <v>ERT-202-G01-M-00</v>
          </cell>
          <cell r="C311" t="str">
            <v>Administratively Closed</v>
          </cell>
          <cell r="D311" t="str">
            <v>Middle East and North Africa</v>
          </cell>
          <cell r="E311" t="str">
            <v>ERI</v>
          </cell>
          <cell r="F311" t="str">
            <v>Ministry of Health of Eritrea</v>
          </cell>
        </row>
        <row r="312">
          <cell r="B312" t="str">
            <v>ERT-304-G02-H</v>
          </cell>
          <cell r="C312" t="str">
            <v>Administratively Closed</v>
          </cell>
          <cell r="D312" t="str">
            <v>Middle East and North Africa</v>
          </cell>
          <cell r="E312" t="str">
            <v>ERI</v>
          </cell>
          <cell r="F312" t="str">
            <v>Ministry of Health of Eritrea</v>
          </cell>
        </row>
        <row r="313">
          <cell r="B313" t="str">
            <v>ERT-506-G03-H</v>
          </cell>
          <cell r="C313" t="str">
            <v>Administratively Closed</v>
          </cell>
          <cell r="D313" t="str">
            <v>Middle East and North Africa</v>
          </cell>
          <cell r="E313" t="str">
            <v>ERI</v>
          </cell>
          <cell r="F313" t="str">
            <v>Ministry of Health of Eritrea</v>
          </cell>
        </row>
        <row r="314">
          <cell r="B314" t="str">
            <v>ERT-607-G04-T</v>
          </cell>
          <cell r="C314" t="str">
            <v>Administratively Closed</v>
          </cell>
          <cell r="D314" t="str">
            <v>Middle East and North Africa</v>
          </cell>
          <cell r="E314" t="str">
            <v>ERI</v>
          </cell>
          <cell r="F314" t="str">
            <v>Ministry of Health of Eritrea</v>
          </cell>
        </row>
        <row r="315">
          <cell r="B315" t="str">
            <v>ERT-607-G05-M</v>
          </cell>
          <cell r="C315" t="str">
            <v>Administratively Closed</v>
          </cell>
          <cell r="D315" t="str">
            <v>Middle East and North Africa</v>
          </cell>
          <cell r="E315" t="str">
            <v>ERI</v>
          </cell>
          <cell r="F315" t="str">
            <v>Ministry of Health of Eritrea</v>
          </cell>
        </row>
        <row r="316">
          <cell r="B316" t="str">
            <v>ERT-809-G06-H</v>
          </cell>
          <cell r="C316" t="str">
            <v>Administratively Closed</v>
          </cell>
          <cell r="D316" t="str">
            <v>Middle East and North Africa</v>
          </cell>
          <cell r="E316" t="str">
            <v>ERI</v>
          </cell>
          <cell r="F316" t="str">
            <v>Ministry of Health of Eritrea</v>
          </cell>
        </row>
        <row r="317">
          <cell r="B317" t="str">
            <v>EST-202-G01-H-00</v>
          </cell>
          <cell r="C317" t="str">
            <v>Administratively Closed</v>
          </cell>
          <cell r="D317" t="str">
            <v>Eastern Europe and Central Asia</v>
          </cell>
          <cell r="E317" t="str">
            <v>EST</v>
          </cell>
          <cell r="F317" t="str">
            <v>National Institute for Health Development, Ministry of Social Affaires</v>
          </cell>
        </row>
        <row r="318">
          <cell r="B318" t="str">
            <v>ETH-102-G01-T-00</v>
          </cell>
          <cell r="C318" t="str">
            <v>Financial Closure</v>
          </cell>
          <cell r="D318" t="str">
            <v>High Impact Africa 2</v>
          </cell>
          <cell r="E318" t="str">
            <v>ETH</v>
          </cell>
          <cell r="F318" t="str">
            <v>Ministry of Health of Ethiopia</v>
          </cell>
        </row>
        <row r="319">
          <cell r="B319" t="str">
            <v>ETH-202-G02-M-00</v>
          </cell>
          <cell r="C319" t="str">
            <v>Financial Closure</v>
          </cell>
          <cell r="D319" t="str">
            <v>High Impact Africa 2</v>
          </cell>
          <cell r="E319" t="str">
            <v>ETH</v>
          </cell>
          <cell r="F319" t="str">
            <v>Ministry of Health of Ethiopia</v>
          </cell>
        </row>
        <row r="320">
          <cell r="B320" t="str">
            <v>ETH-202-G03-H-00</v>
          </cell>
          <cell r="C320" t="str">
            <v>Active</v>
          </cell>
          <cell r="D320" t="str">
            <v>High Impact Africa 2</v>
          </cell>
          <cell r="E320" t="str">
            <v>ETH</v>
          </cell>
          <cell r="F320" t="str">
            <v>HIV/AIDS Prevention &amp; Control Office</v>
          </cell>
        </row>
        <row r="321">
          <cell r="B321" t="str">
            <v>ETH-405-G04-H</v>
          </cell>
          <cell r="C321" t="str">
            <v>Financial Closure</v>
          </cell>
          <cell r="D321" t="str">
            <v>High Impact Africa 2</v>
          </cell>
          <cell r="E321" t="str">
            <v>ETH</v>
          </cell>
          <cell r="F321" t="str">
            <v>HIV/AIDS Prevention &amp; Control Office</v>
          </cell>
        </row>
        <row r="322">
          <cell r="B322" t="str">
            <v>ETH-506-G05-M</v>
          </cell>
          <cell r="C322" t="str">
            <v>Financial Closure</v>
          </cell>
          <cell r="D322" t="str">
            <v>High Impact Africa 2</v>
          </cell>
          <cell r="E322" t="str">
            <v>ETH</v>
          </cell>
          <cell r="F322" t="str">
            <v>Ministry of Health of Ethiopia</v>
          </cell>
        </row>
        <row r="323">
          <cell r="B323" t="str">
            <v>ETH-607-G06-T</v>
          </cell>
          <cell r="C323" t="str">
            <v>Administratively Closed</v>
          </cell>
          <cell r="D323" t="str">
            <v>High Impact Africa 2</v>
          </cell>
          <cell r="E323" t="str">
            <v>ETH</v>
          </cell>
          <cell r="F323" t="str">
            <v>Ministry of Health of Ethiopia</v>
          </cell>
        </row>
        <row r="324">
          <cell r="B324" t="str">
            <v>ETH-708-G07-H</v>
          </cell>
          <cell r="C324" t="str">
            <v>Active</v>
          </cell>
          <cell r="D324" t="str">
            <v>High Impact Africa 2</v>
          </cell>
          <cell r="E324" t="str">
            <v>ETH</v>
          </cell>
          <cell r="F324" t="str">
            <v>Network of Networks of HIV Positives in Ethiopia</v>
          </cell>
        </row>
        <row r="325">
          <cell r="B325" t="str">
            <v>ETH-708-G08-H</v>
          </cell>
          <cell r="C325" t="str">
            <v>Financial Closure</v>
          </cell>
          <cell r="D325" t="str">
            <v>High Impact Africa 2</v>
          </cell>
          <cell r="E325" t="str">
            <v>ETH</v>
          </cell>
          <cell r="F325" t="str">
            <v>HIV/AIDS Prevention &amp; Control Office</v>
          </cell>
        </row>
        <row r="326">
          <cell r="B326" t="str">
            <v>ETH-708-G09-H</v>
          </cell>
          <cell r="C326" t="str">
            <v>Active</v>
          </cell>
          <cell r="D326" t="str">
            <v>High Impact Africa 2</v>
          </cell>
          <cell r="E326" t="str">
            <v>ETH</v>
          </cell>
          <cell r="F326" t="str">
            <v>Ethiopian Interfaith Forum for Development, Dialogue and Action</v>
          </cell>
        </row>
        <row r="327">
          <cell r="B327" t="str">
            <v>ETH-809-G10-M</v>
          </cell>
          <cell r="C327" t="str">
            <v>Active</v>
          </cell>
          <cell r="D327" t="str">
            <v>High Impact Africa 2</v>
          </cell>
          <cell r="E327" t="str">
            <v>ETH</v>
          </cell>
          <cell r="F327" t="str">
            <v>Ministry of Health of Ethiopia</v>
          </cell>
        </row>
        <row r="328">
          <cell r="B328" t="str">
            <v>ETH-911-G11-S</v>
          </cell>
          <cell r="C328" t="str">
            <v>Active</v>
          </cell>
          <cell r="D328" t="str">
            <v>High Impact Africa 2</v>
          </cell>
          <cell r="E328" t="str">
            <v>ETH</v>
          </cell>
          <cell r="F328" t="str">
            <v>Ministry of Health of Ethiopia</v>
          </cell>
        </row>
        <row r="329">
          <cell r="B329" t="str">
            <v>ETH-T-FMOH</v>
          </cell>
          <cell r="C329" t="str">
            <v>Active</v>
          </cell>
          <cell r="D329" t="str">
            <v>High Impact Africa 2</v>
          </cell>
          <cell r="E329" t="str">
            <v>ETH</v>
          </cell>
          <cell r="F329" t="str">
            <v>Ministry of Health of Ethiopia</v>
          </cell>
        </row>
        <row r="330">
          <cell r="B330" t="str">
            <v>FJI-T-MOH</v>
          </cell>
          <cell r="C330" t="str">
            <v>Active</v>
          </cell>
          <cell r="D330" t="str">
            <v>South East Asia</v>
          </cell>
          <cell r="E330" t="str">
            <v>FJI</v>
          </cell>
          <cell r="F330" t="str">
            <v>Ministry of Health of Fiji</v>
          </cell>
        </row>
        <row r="331">
          <cell r="B331" t="str">
            <v>GAB-304-G01-H</v>
          </cell>
          <cell r="C331" t="str">
            <v>Administratively Closed</v>
          </cell>
          <cell r="D331" t="str">
            <v>Central Africa</v>
          </cell>
          <cell r="E331" t="str">
            <v>GAB</v>
          </cell>
          <cell r="F331" t="str">
            <v>United Nations Development Programme, Gabon</v>
          </cell>
        </row>
        <row r="332">
          <cell r="B332" t="str">
            <v>GAB-404-G02-M</v>
          </cell>
          <cell r="C332" t="str">
            <v>Administratively Closed</v>
          </cell>
          <cell r="D332" t="str">
            <v>Central Africa</v>
          </cell>
          <cell r="E332" t="str">
            <v>GAB</v>
          </cell>
          <cell r="F332" t="str">
            <v>United Nations Development Programme, Gabon</v>
          </cell>
        </row>
        <row r="333">
          <cell r="B333" t="str">
            <v>GAB-506-G03-M</v>
          </cell>
          <cell r="C333" t="str">
            <v>Administratively Closed</v>
          </cell>
          <cell r="D333" t="str">
            <v>Central Africa</v>
          </cell>
          <cell r="E333" t="str">
            <v>GAB</v>
          </cell>
          <cell r="F333" t="str">
            <v>United Nations Development Programme, Gabon</v>
          </cell>
        </row>
        <row r="334">
          <cell r="B334" t="str">
            <v>GAB-509-G04-M</v>
          </cell>
          <cell r="C334" t="str">
            <v>Administratively Closed</v>
          </cell>
          <cell r="D334" t="str">
            <v>Central Africa</v>
          </cell>
          <cell r="E334" t="str">
            <v>GAB</v>
          </cell>
          <cell r="F334" t="str">
            <v>Ministry of Health and Public Hygiene of Gabon</v>
          </cell>
        </row>
        <row r="335">
          <cell r="B335" t="str">
            <v>GAB-809-G05-H</v>
          </cell>
          <cell r="C335" t="str">
            <v>Financial Closure</v>
          </cell>
          <cell r="D335" t="str">
            <v>Central Africa</v>
          </cell>
          <cell r="E335" t="str">
            <v>GAB</v>
          </cell>
          <cell r="F335" t="str">
            <v>Ministry of Health and Public Hygiene of Gabon</v>
          </cell>
        </row>
        <row r="336">
          <cell r="B336" t="str">
            <v>GMB-304-G01-H</v>
          </cell>
          <cell r="C336" t="str">
            <v>Administratively Closed</v>
          </cell>
          <cell r="D336" t="str">
            <v>Western Africa</v>
          </cell>
          <cell r="E336" t="str">
            <v>GMB</v>
          </cell>
          <cell r="F336" t="str">
            <v>National AIDS Secretariat of Gambia</v>
          </cell>
        </row>
        <row r="337">
          <cell r="B337" t="str">
            <v>GMB-304-G02-M</v>
          </cell>
          <cell r="C337" t="str">
            <v>Administratively Closed</v>
          </cell>
          <cell r="D337" t="str">
            <v>Western Africa</v>
          </cell>
          <cell r="E337" t="str">
            <v>GMB</v>
          </cell>
          <cell r="F337" t="str">
            <v>National Malaria Control Program, Ministry of Health of Gambia</v>
          </cell>
        </row>
        <row r="338">
          <cell r="B338" t="str">
            <v>GMB-506-G03-T</v>
          </cell>
          <cell r="C338" t="str">
            <v>Administratively Closed</v>
          </cell>
          <cell r="D338" t="str">
            <v>Western Africa</v>
          </cell>
          <cell r="E338" t="str">
            <v>GMB</v>
          </cell>
          <cell r="F338" t="str">
            <v>National Leprosy and Tubeculosis Program, Ministry of Health of Gambia</v>
          </cell>
        </row>
        <row r="339">
          <cell r="B339" t="str">
            <v>GMB-607-G04-M</v>
          </cell>
          <cell r="C339" t="str">
            <v>Administratively Closed</v>
          </cell>
          <cell r="D339" t="str">
            <v>Western Africa</v>
          </cell>
          <cell r="E339" t="str">
            <v>GMB</v>
          </cell>
          <cell r="F339" t="str">
            <v>National Malaria Control Program, Ministry of Health of Gambia</v>
          </cell>
        </row>
        <row r="340">
          <cell r="B340" t="str">
            <v>GMB-809-G05-H</v>
          </cell>
          <cell r="C340" t="str">
            <v>Active</v>
          </cell>
          <cell r="D340" t="str">
            <v>Western Africa</v>
          </cell>
          <cell r="E340" t="str">
            <v>GMB</v>
          </cell>
          <cell r="F340" t="str">
            <v>National AIDS Secretariat of Gambia</v>
          </cell>
        </row>
        <row r="341">
          <cell r="B341" t="str">
            <v>GMB-809-G06-H</v>
          </cell>
          <cell r="C341" t="str">
            <v>Active</v>
          </cell>
          <cell r="D341" t="str">
            <v>Western Africa</v>
          </cell>
          <cell r="E341" t="str">
            <v>GMB</v>
          </cell>
          <cell r="F341" t="str">
            <v>Actionaid International of the Gambia</v>
          </cell>
        </row>
        <row r="342">
          <cell r="B342" t="str">
            <v>GMB-M-CRS</v>
          </cell>
          <cell r="C342" t="str">
            <v>Active</v>
          </cell>
          <cell r="D342" t="str">
            <v>Western Africa</v>
          </cell>
          <cell r="E342" t="str">
            <v>GMB</v>
          </cell>
          <cell r="F342" t="str">
            <v>Catholic Relief Services - Gambia</v>
          </cell>
        </row>
        <row r="343">
          <cell r="B343" t="str">
            <v>GMB-M-MOH</v>
          </cell>
          <cell r="C343" t="str">
            <v>Active</v>
          </cell>
          <cell r="D343" t="str">
            <v>Western Africa</v>
          </cell>
          <cell r="E343" t="str">
            <v>GMB</v>
          </cell>
          <cell r="F343" t="str">
            <v>National Malaria Control Program, Ministry of Health of Gambia</v>
          </cell>
        </row>
        <row r="344">
          <cell r="B344" t="str">
            <v>GMB-T-MOH</v>
          </cell>
          <cell r="C344" t="str">
            <v>Active</v>
          </cell>
          <cell r="D344" t="str">
            <v>Western Africa</v>
          </cell>
          <cell r="E344" t="str">
            <v>GMB</v>
          </cell>
          <cell r="F344" t="str">
            <v>National Leprosy and Tubeculosis Program, Ministry of Health of Gambia</v>
          </cell>
        </row>
        <row r="345">
          <cell r="B345" t="str">
            <v>GMB-T-MRC</v>
          </cell>
          <cell r="C345" t="str">
            <v>Active</v>
          </cell>
          <cell r="D345" t="str">
            <v>Western Africa</v>
          </cell>
          <cell r="E345" t="str">
            <v>GMB</v>
          </cell>
          <cell r="F345" t="str">
            <v>Medical Research Council</v>
          </cell>
        </row>
        <row r="346">
          <cell r="B346" t="str">
            <v>GEO-202-G01-H-00</v>
          </cell>
          <cell r="C346" t="str">
            <v>Administratively Closed</v>
          </cell>
          <cell r="D346" t="str">
            <v>Eastern Europe and Central Asia</v>
          </cell>
          <cell r="E346" t="str">
            <v>GEO</v>
          </cell>
          <cell r="F346" t="str">
            <v>Georgia Health and Social Projects Implementation Center</v>
          </cell>
        </row>
        <row r="347">
          <cell r="B347" t="str">
            <v>GEO-304-G02-M</v>
          </cell>
          <cell r="C347" t="str">
            <v>Administratively Closed</v>
          </cell>
          <cell r="D347" t="str">
            <v>Eastern Europe and Central Asia</v>
          </cell>
          <cell r="E347" t="str">
            <v>GEO</v>
          </cell>
          <cell r="F347" t="str">
            <v>Georgia Health and Social Projects Implementation Center</v>
          </cell>
        </row>
        <row r="348">
          <cell r="B348" t="str">
            <v>GEO-405-G03-T</v>
          </cell>
          <cell r="C348" t="str">
            <v>Administratively Closed</v>
          </cell>
          <cell r="D348" t="str">
            <v>Eastern Europe and Central Asia</v>
          </cell>
          <cell r="E348" t="str">
            <v>GEO</v>
          </cell>
          <cell r="F348" t="str">
            <v>Georgia Health and Social Projects Implementation Center</v>
          </cell>
        </row>
        <row r="349">
          <cell r="B349" t="str">
            <v>GEO-411-G11-T</v>
          </cell>
          <cell r="C349" t="str">
            <v>Administratively Closed</v>
          </cell>
          <cell r="D349" t="str">
            <v>Eastern Europe and Central Asia</v>
          </cell>
          <cell r="E349" t="str">
            <v>GEO</v>
          </cell>
          <cell r="F349" t="str">
            <v>Global Projects Implementation Center</v>
          </cell>
        </row>
        <row r="350">
          <cell r="B350" t="str">
            <v>GEO-607-G04-M</v>
          </cell>
          <cell r="C350" t="str">
            <v>Administratively Closed</v>
          </cell>
          <cell r="D350" t="str">
            <v>Eastern Europe and Central Asia</v>
          </cell>
          <cell r="E350" t="str">
            <v>GEO</v>
          </cell>
          <cell r="F350" t="str">
            <v>Georgia Health and Social Projects Implementation Center</v>
          </cell>
        </row>
        <row r="351">
          <cell r="B351" t="str">
            <v>GEO-607-G05-T</v>
          </cell>
          <cell r="C351" t="str">
            <v>Administratively Closed</v>
          </cell>
          <cell r="D351" t="str">
            <v>Eastern Europe and Central Asia</v>
          </cell>
          <cell r="E351" t="str">
            <v>GEO</v>
          </cell>
          <cell r="F351" t="str">
            <v>Georgia Health and Social Projects Implementation Center</v>
          </cell>
        </row>
        <row r="352">
          <cell r="B352" t="str">
            <v>GEO-607-G06-H</v>
          </cell>
          <cell r="C352" t="str">
            <v>Administratively Closed</v>
          </cell>
          <cell r="D352" t="str">
            <v>Eastern Europe and Central Asia</v>
          </cell>
          <cell r="E352" t="str">
            <v>GEO</v>
          </cell>
          <cell r="F352" t="str">
            <v>Georgia Health and Social Projects Implementation Center</v>
          </cell>
        </row>
        <row r="353">
          <cell r="B353" t="str">
            <v>GEO-611-G09-M</v>
          </cell>
          <cell r="C353" t="str">
            <v>Administratively Closed</v>
          </cell>
          <cell r="D353" t="str">
            <v>Eastern Europe and Central Asia</v>
          </cell>
          <cell r="E353" t="str">
            <v>GEO</v>
          </cell>
          <cell r="F353" t="str">
            <v>Global Projects Implementation Center</v>
          </cell>
        </row>
        <row r="354">
          <cell r="B354" t="str">
            <v>GEO-611-G10-T</v>
          </cell>
          <cell r="C354" t="str">
            <v>Administratively Closed</v>
          </cell>
          <cell r="D354" t="str">
            <v>Eastern Europe and Central Asia</v>
          </cell>
          <cell r="E354" t="str">
            <v>GEO</v>
          </cell>
          <cell r="F354" t="str">
            <v>Global Projects Implementation Center</v>
          </cell>
        </row>
        <row r="355">
          <cell r="B355" t="str">
            <v>GEO-H-GPIC</v>
          </cell>
          <cell r="C355" t="str">
            <v>Financial Closure</v>
          </cell>
          <cell r="D355" t="str">
            <v>Eastern Europe and Central Asia</v>
          </cell>
          <cell r="E355" t="str">
            <v>GEO</v>
          </cell>
          <cell r="F355" t="str">
            <v>Global Projects Implementation Center</v>
          </cell>
        </row>
        <row r="356">
          <cell r="B356" t="str">
            <v>GEO-H-NCDC</v>
          </cell>
          <cell r="C356" t="str">
            <v>Active</v>
          </cell>
          <cell r="D356" t="str">
            <v>Eastern Europe and Central Asia</v>
          </cell>
          <cell r="E356" t="str">
            <v>GEO</v>
          </cell>
          <cell r="F356" t="str">
            <v>National Center for Disease Control and Public Health, Georgia</v>
          </cell>
        </row>
        <row r="357">
          <cell r="B357" t="str">
            <v>GEO-S10-G07-H</v>
          </cell>
          <cell r="C357" t="str">
            <v>Administratively Closed</v>
          </cell>
          <cell r="D357" t="str">
            <v>Eastern Europe and Central Asia</v>
          </cell>
          <cell r="E357" t="str">
            <v>GEO</v>
          </cell>
          <cell r="F357" t="str">
            <v>Georgia Health and Social Projects Implementation Center</v>
          </cell>
        </row>
        <row r="358">
          <cell r="B358" t="str">
            <v>GEO-T-GPIC</v>
          </cell>
          <cell r="C358" t="str">
            <v>Financial Closure</v>
          </cell>
          <cell r="D358" t="str">
            <v>Eastern Europe and Central Asia</v>
          </cell>
          <cell r="E358" t="str">
            <v>GEO</v>
          </cell>
          <cell r="F358" t="str">
            <v>Global Projects Implementation Center</v>
          </cell>
        </row>
        <row r="359">
          <cell r="B359" t="str">
            <v>GEO-T-NCDC</v>
          </cell>
          <cell r="C359" t="str">
            <v>Active</v>
          </cell>
          <cell r="D359" t="str">
            <v>Eastern Europe and Central Asia</v>
          </cell>
          <cell r="E359" t="str">
            <v>GEO</v>
          </cell>
          <cell r="F359" t="str">
            <v>National Center for Disease Control and Public Health, Georgia</v>
          </cell>
        </row>
        <row r="360">
          <cell r="B360" t="str">
            <v>GHA-M-AGAMal</v>
          </cell>
          <cell r="C360" t="str">
            <v>N.D.</v>
          </cell>
          <cell r="D360" t="str">
            <v>High Impact Africa 1</v>
          </cell>
          <cell r="E360" t="str">
            <v>GHA</v>
          </cell>
          <cell r="F360" t="str">
            <v>Not Defined</v>
          </cell>
        </row>
        <row r="361">
          <cell r="B361" t="str">
            <v>GHA-M-MOH</v>
          </cell>
          <cell r="C361" t="str">
            <v>N.D.</v>
          </cell>
          <cell r="D361" t="str">
            <v>High Impact Africa 1</v>
          </cell>
          <cell r="E361" t="str">
            <v>GHA</v>
          </cell>
          <cell r="F361" t="str">
            <v>Not Defined</v>
          </cell>
        </row>
        <row r="362">
          <cell r="B362" t="str">
            <v>GHN-102-G01-H-00</v>
          </cell>
          <cell r="C362" t="str">
            <v>Administratively Closed</v>
          </cell>
          <cell r="D362" t="str">
            <v>High Impact Africa 1</v>
          </cell>
          <cell r="E362" t="str">
            <v>GHA</v>
          </cell>
          <cell r="F362" t="str">
            <v>Ministry of Health of Ghana</v>
          </cell>
        </row>
        <row r="363">
          <cell r="B363" t="str">
            <v>GHN-102-G02-T-00</v>
          </cell>
          <cell r="C363" t="str">
            <v>Administratively Closed</v>
          </cell>
          <cell r="D363" t="str">
            <v>High Impact Africa 1</v>
          </cell>
          <cell r="E363" t="str">
            <v>GHA</v>
          </cell>
          <cell r="F363" t="str">
            <v>Ministry of Health of Ghana</v>
          </cell>
        </row>
        <row r="364">
          <cell r="B364" t="str">
            <v>GHN-202-G03-M-00</v>
          </cell>
          <cell r="C364" t="str">
            <v>Administratively Closed</v>
          </cell>
          <cell r="D364" t="str">
            <v>High Impact Africa 1</v>
          </cell>
          <cell r="E364" t="str">
            <v>GHA</v>
          </cell>
          <cell r="F364" t="str">
            <v>Ministry of Health of Ghana</v>
          </cell>
        </row>
        <row r="365">
          <cell r="B365" t="str">
            <v>GHN-405-G04-M</v>
          </cell>
          <cell r="C365" t="str">
            <v>Administratively Closed</v>
          </cell>
          <cell r="D365" t="str">
            <v>High Impact Africa 1</v>
          </cell>
          <cell r="E365" t="str">
            <v>GHA</v>
          </cell>
          <cell r="F365" t="str">
            <v>Ministry of Health of Ghana</v>
          </cell>
        </row>
        <row r="366">
          <cell r="B366" t="str">
            <v>GHN-506-G05-T</v>
          </cell>
          <cell r="C366" t="str">
            <v>Financial Closure</v>
          </cell>
          <cell r="D366" t="str">
            <v>High Impact Africa 1</v>
          </cell>
          <cell r="E366" t="str">
            <v>GHA</v>
          </cell>
          <cell r="F366" t="str">
            <v>Ministry of Health of Ghana</v>
          </cell>
        </row>
        <row r="367">
          <cell r="B367" t="str">
            <v>GHN-506-G06-H</v>
          </cell>
          <cell r="C367" t="str">
            <v>Administratively Closed</v>
          </cell>
          <cell r="D367" t="str">
            <v>High Impact Africa 1</v>
          </cell>
          <cell r="E367" t="str">
            <v>GHA</v>
          </cell>
          <cell r="F367" t="str">
            <v>Ministry of Health of Ghana</v>
          </cell>
        </row>
        <row r="368">
          <cell r="B368" t="str">
            <v>GHN-809-G07-M</v>
          </cell>
          <cell r="C368" t="str">
            <v>Administratively Closed</v>
          </cell>
          <cell r="D368" t="str">
            <v>High Impact Africa 1</v>
          </cell>
          <cell r="E368" t="str">
            <v>GHA</v>
          </cell>
          <cell r="F368" t="str">
            <v>Ministry of Health of Ghana</v>
          </cell>
        </row>
        <row r="369">
          <cell r="B369" t="str">
            <v>GHN-809-G08-M</v>
          </cell>
          <cell r="C369" t="str">
            <v>Active</v>
          </cell>
          <cell r="D369" t="str">
            <v>High Impact Africa 1</v>
          </cell>
          <cell r="E369" t="str">
            <v>GHA</v>
          </cell>
          <cell r="F369" t="str">
            <v>AngloGold Ashanti Malaria Control Limited</v>
          </cell>
        </row>
        <row r="370">
          <cell r="B370" t="str">
            <v>GHN-809-G09-H</v>
          </cell>
          <cell r="C370" t="str">
            <v>Active</v>
          </cell>
          <cell r="D370" t="str">
            <v>High Impact Africa 1</v>
          </cell>
          <cell r="E370" t="str">
            <v>GHA</v>
          </cell>
          <cell r="F370" t="str">
            <v>Adventist Development and Relief Agency</v>
          </cell>
        </row>
        <row r="371">
          <cell r="B371" t="str">
            <v>GHN-809-G10-H</v>
          </cell>
          <cell r="C371" t="str">
            <v>Active</v>
          </cell>
          <cell r="D371" t="str">
            <v>High Impact Africa 1</v>
          </cell>
          <cell r="E371" t="str">
            <v>GHA</v>
          </cell>
          <cell r="F371" t="str">
            <v>Planned Parenthood Association of Ghana</v>
          </cell>
        </row>
        <row r="372">
          <cell r="B372" t="str">
            <v>GHN-809-G11-H</v>
          </cell>
          <cell r="C372" t="str">
            <v>Active</v>
          </cell>
          <cell r="D372" t="str">
            <v>High Impact Africa 1</v>
          </cell>
          <cell r="E372" t="str">
            <v>GHA</v>
          </cell>
          <cell r="F372" t="str">
            <v>Ministry of Health of Ghana</v>
          </cell>
        </row>
        <row r="373">
          <cell r="B373" t="str">
            <v>GHN-809-G12-H</v>
          </cell>
          <cell r="C373" t="str">
            <v>Active</v>
          </cell>
          <cell r="D373" t="str">
            <v>High Impact Africa 1</v>
          </cell>
          <cell r="E373" t="str">
            <v>GHA</v>
          </cell>
          <cell r="F373" t="str">
            <v>Ghana AIDS Commission</v>
          </cell>
        </row>
        <row r="374">
          <cell r="B374" t="str">
            <v>GHN-M-MOH</v>
          </cell>
          <cell r="C374" t="str">
            <v>Active</v>
          </cell>
          <cell r="D374" t="str">
            <v>High Impact Africa 1</v>
          </cell>
          <cell r="E374" t="str">
            <v>GHA</v>
          </cell>
          <cell r="F374" t="str">
            <v>Ministry of Health of Ghana</v>
          </cell>
        </row>
        <row r="375">
          <cell r="B375" t="str">
            <v>GHN-T-MOH</v>
          </cell>
          <cell r="C375" t="str">
            <v>Active</v>
          </cell>
          <cell r="D375" t="str">
            <v>High Impact Africa 1</v>
          </cell>
          <cell r="E375" t="str">
            <v>GHA</v>
          </cell>
          <cell r="F375" t="str">
            <v>Ministry of Health of Ghana</v>
          </cell>
        </row>
        <row r="376">
          <cell r="B376" t="str">
            <v>GUA-304-G01-H</v>
          </cell>
          <cell r="C376" t="str">
            <v>Administratively Closed</v>
          </cell>
          <cell r="D376" t="str">
            <v>Latin America and Caribbean</v>
          </cell>
          <cell r="E376" t="str">
            <v>GTM</v>
          </cell>
          <cell r="F376" t="str">
            <v>Fundación Visión Mundial Guatemala</v>
          </cell>
        </row>
        <row r="377">
          <cell r="B377" t="str">
            <v>GUA-311-G05-H</v>
          </cell>
          <cell r="C377" t="str">
            <v>Active</v>
          </cell>
          <cell r="D377" t="str">
            <v>Latin America and Caribbean</v>
          </cell>
          <cell r="E377" t="str">
            <v>GTM</v>
          </cell>
          <cell r="F377" t="str">
            <v>Humanist Institute for Development Cooperation, HQ</v>
          </cell>
        </row>
        <row r="378">
          <cell r="B378" t="str">
            <v>GUA-311-G06-H</v>
          </cell>
          <cell r="C378" t="str">
            <v>Active</v>
          </cell>
          <cell r="D378" t="str">
            <v>Latin America and Caribbean</v>
          </cell>
          <cell r="E378" t="str">
            <v>GTM</v>
          </cell>
          <cell r="F378" t="str">
            <v>Ministry of Health of Guatemala</v>
          </cell>
        </row>
        <row r="379">
          <cell r="B379" t="str">
            <v>GUA-405-G02-M</v>
          </cell>
          <cell r="C379" t="str">
            <v>Administratively Closed</v>
          </cell>
          <cell r="D379" t="str">
            <v>Latin America and Caribbean</v>
          </cell>
          <cell r="E379" t="str">
            <v>GTM</v>
          </cell>
          <cell r="F379" t="str">
            <v>Fundación Visión Mundial Guatemala</v>
          </cell>
        </row>
        <row r="380">
          <cell r="B380" t="str">
            <v>GUA-607-G03-T</v>
          </cell>
          <cell r="C380" t="str">
            <v>Administratively Closed</v>
          </cell>
          <cell r="D380" t="str">
            <v>Latin America and Caribbean</v>
          </cell>
          <cell r="E380" t="str">
            <v>GTM</v>
          </cell>
          <cell r="F380" t="str">
            <v>Fundación Visión Mundial Guatemala</v>
          </cell>
        </row>
        <row r="381">
          <cell r="B381" t="str">
            <v>GUA-610-G04-T</v>
          </cell>
          <cell r="C381" t="str">
            <v>Active</v>
          </cell>
          <cell r="D381" t="str">
            <v>Latin America and Caribbean</v>
          </cell>
          <cell r="E381" t="str">
            <v>GTM</v>
          </cell>
          <cell r="F381" t="str">
            <v>Ministry of Health of Guatemala</v>
          </cell>
        </row>
        <row r="382">
          <cell r="B382" t="str">
            <v>GUA-M-MSPAS</v>
          </cell>
          <cell r="C382" t="str">
            <v>Active</v>
          </cell>
          <cell r="D382" t="str">
            <v>Latin America and Caribbean</v>
          </cell>
          <cell r="E382" t="str">
            <v>GTM</v>
          </cell>
          <cell r="F382" t="str">
            <v>Ministry of Health of Guatemala</v>
          </cell>
        </row>
        <row r="383">
          <cell r="B383" t="str">
            <v>GIN-202-G01-H-00</v>
          </cell>
          <cell r="C383" t="str">
            <v>Financial Closure</v>
          </cell>
          <cell r="D383" t="str">
            <v>Western Africa</v>
          </cell>
          <cell r="E383" t="str">
            <v>GIN</v>
          </cell>
          <cell r="F383" t="str">
            <v>Ministry of Public Health of Guinea</v>
          </cell>
        </row>
        <row r="384">
          <cell r="B384" t="str">
            <v>GIN-202-G02-M-00</v>
          </cell>
          <cell r="C384" t="str">
            <v>Financial Closure</v>
          </cell>
          <cell r="D384" t="str">
            <v>Western Africa</v>
          </cell>
          <cell r="E384" t="str">
            <v>GIN</v>
          </cell>
          <cell r="F384" t="str">
            <v>Ministry of Public Health of Guinea</v>
          </cell>
        </row>
        <row r="385">
          <cell r="B385" t="str">
            <v>GIN-506-G03-T</v>
          </cell>
          <cell r="C385" t="str">
            <v>Administratively Closed</v>
          </cell>
          <cell r="D385" t="str">
            <v>Western Africa</v>
          </cell>
          <cell r="E385" t="str">
            <v>GIN</v>
          </cell>
          <cell r="F385" t="str">
            <v>Ministry of Public Health of Guinea</v>
          </cell>
        </row>
        <row r="386">
          <cell r="B386" t="str">
            <v>GIN-607-G04-H</v>
          </cell>
          <cell r="C386" t="str">
            <v>Financial Closure</v>
          </cell>
          <cell r="D386" t="str">
            <v>Western Africa</v>
          </cell>
          <cell r="E386" t="str">
            <v>GIN</v>
          </cell>
          <cell r="F386" t="str">
            <v>Ministry of Public Health of Guinea</v>
          </cell>
        </row>
        <row r="387">
          <cell r="B387" t="str">
            <v>GIN-607-G05-M</v>
          </cell>
          <cell r="C387" t="str">
            <v>Administratively Closed</v>
          </cell>
          <cell r="D387" t="str">
            <v>Western Africa</v>
          </cell>
          <cell r="E387" t="str">
            <v>GIN</v>
          </cell>
          <cell r="F387" t="str">
            <v>Ministry of Public Health of Guinea</v>
          </cell>
        </row>
        <row r="388">
          <cell r="B388" t="str">
            <v>GIN-H-CNLS</v>
          </cell>
          <cell r="C388" t="str">
            <v>Active</v>
          </cell>
          <cell r="D388" t="str">
            <v>Western Africa</v>
          </cell>
          <cell r="E388" t="str">
            <v>GIN</v>
          </cell>
          <cell r="F388" t="str">
            <v>National AIDS Council of Guinea</v>
          </cell>
        </row>
        <row r="389">
          <cell r="B389" t="str">
            <v>GIN-H-GIZ</v>
          </cell>
          <cell r="C389" t="str">
            <v>Financial Closure</v>
          </cell>
          <cell r="D389" t="str">
            <v>Western Africa</v>
          </cell>
          <cell r="E389" t="str">
            <v>GIN</v>
          </cell>
          <cell r="F389" t="str">
            <v>Deutsche Gesellschaft für Internationale Zusammenarbeit</v>
          </cell>
        </row>
        <row r="390">
          <cell r="B390" t="str">
            <v>GIN-M-CRS</v>
          </cell>
          <cell r="C390" t="str">
            <v>Active</v>
          </cell>
          <cell r="D390" t="str">
            <v>Western Africa</v>
          </cell>
          <cell r="E390" t="str">
            <v>GIN</v>
          </cell>
          <cell r="F390" t="str">
            <v>Catholic Relief Services USCCB - Guinea</v>
          </cell>
        </row>
        <row r="391">
          <cell r="B391" t="str">
            <v>GIN-M-PNLP</v>
          </cell>
          <cell r="C391" t="str">
            <v>Financial Closure</v>
          </cell>
          <cell r="D391" t="str">
            <v>Western Africa</v>
          </cell>
          <cell r="E391" t="str">
            <v>GIN</v>
          </cell>
          <cell r="F391" t="str">
            <v>Ministry of Public Health of Guinea</v>
          </cell>
        </row>
        <row r="392">
          <cell r="B392" t="str">
            <v>GIN-S-MoH</v>
          </cell>
          <cell r="C392" t="str">
            <v>Administratively Closed</v>
          </cell>
          <cell r="D392" t="str">
            <v>Western Africa</v>
          </cell>
          <cell r="E392" t="str">
            <v>GIN</v>
          </cell>
          <cell r="F392" t="str">
            <v>Not Defined</v>
          </cell>
        </row>
        <row r="393">
          <cell r="B393" t="str">
            <v>GIN-T-MSHP</v>
          </cell>
          <cell r="C393" t="str">
            <v>Financial Closure</v>
          </cell>
          <cell r="D393" t="str">
            <v>Western Africa</v>
          </cell>
          <cell r="E393" t="str">
            <v>GIN</v>
          </cell>
          <cell r="F393" t="str">
            <v>Ministry of Public Health of Guinea</v>
          </cell>
        </row>
        <row r="394">
          <cell r="B394" t="str">
            <v>GIN-T-PSI</v>
          </cell>
          <cell r="C394" t="str">
            <v>Active</v>
          </cell>
          <cell r="D394" t="str">
            <v>Western Africa</v>
          </cell>
          <cell r="E394" t="str">
            <v>GIN</v>
          </cell>
          <cell r="F394" t="str">
            <v>Population Services International, USA</v>
          </cell>
        </row>
        <row r="395">
          <cell r="B395" t="str">
            <v>GNB-304-G01-T</v>
          </cell>
          <cell r="C395" t="str">
            <v>Administratively Closed</v>
          </cell>
          <cell r="D395" t="str">
            <v>Western Africa</v>
          </cell>
          <cell r="E395" t="str">
            <v>GNB</v>
          </cell>
          <cell r="F395" t="str">
            <v>United Nations Development Programme, Guinea-Bissau</v>
          </cell>
        </row>
        <row r="396">
          <cell r="B396" t="str">
            <v>GNB-309-G06-T</v>
          </cell>
          <cell r="C396" t="str">
            <v>Administratively Closed</v>
          </cell>
          <cell r="D396" t="str">
            <v>Western Africa</v>
          </cell>
          <cell r="E396" t="str">
            <v>GNB</v>
          </cell>
          <cell r="F396" t="str">
            <v>Ministry of Health of Guinea-Bissau</v>
          </cell>
        </row>
        <row r="397">
          <cell r="B397" t="str">
            <v>GNB-404-G02-H</v>
          </cell>
          <cell r="C397" t="str">
            <v>Administratively Closed</v>
          </cell>
          <cell r="D397" t="str">
            <v>Western Africa</v>
          </cell>
          <cell r="E397" t="str">
            <v>GNB</v>
          </cell>
          <cell r="F397" t="str">
            <v>United Nations Development Programme, Guinea-Bissau</v>
          </cell>
        </row>
        <row r="398">
          <cell r="B398" t="str">
            <v>GNB-404-G03-M</v>
          </cell>
          <cell r="C398" t="str">
            <v>Administratively Closed</v>
          </cell>
          <cell r="D398" t="str">
            <v>Western Africa</v>
          </cell>
          <cell r="E398" t="str">
            <v>GNB</v>
          </cell>
          <cell r="F398" t="str">
            <v>United Nations Development Programme, Guinea-Bissau</v>
          </cell>
        </row>
        <row r="399">
          <cell r="B399" t="str">
            <v>GNB-409-G07-H</v>
          </cell>
          <cell r="C399" t="str">
            <v>Administratively Closed</v>
          </cell>
          <cell r="D399" t="str">
            <v>Western Africa</v>
          </cell>
          <cell r="E399" t="str">
            <v>GNB</v>
          </cell>
          <cell r="F399" t="str">
            <v>Ministry of Health of Guinea-Bissau</v>
          </cell>
        </row>
        <row r="400">
          <cell r="B400" t="str">
            <v>GNB-409-G08-M</v>
          </cell>
          <cell r="C400" t="str">
            <v>Administratively Closed</v>
          </cell>
          <cell r="D400" t="str">
            <v>Western Africa</v>
          </cell>
          <cell r="E400" t="str">
            <v>GNB</v>
          </cell>
          <cell r="F400" t="str">
            <v>Ministry of Health of Guinea-Bissau</v>
          </cell>
        </row>
        <row r="401">
          <cell r="B401" t="str">
            <v>GNB-607-G04-M</v>
          </cell>
          <cell r="C401" t="str">
            <v>Administratively Closed</v>
          </cell>
          <cell r="D401" t="str">
            <v>Western Africa</v>
          </cell>
          <cell r="E401" t="str">
            <v>GNB</v>
          </cell>
          <cell r="F401" t="str">
            <v>Ministry of Health of Guinea-Bissau</v>
          </cell>
        </row>
        <row r="402">
          <cell r="B402" t="str">
            <v>GNB-708-G05-H</v>
          </cell>
          <cell r="C402" t="str">
            <v>Active</v>
          </cell>
          <cell r="D402" t="str">
            <v>Western Africa</v>
          </cell>
          <cell r="E402" t="str">
            <v>GNB</v>
          </cell>
          <cell r="F402" t="str">
            <v>National Secretariat to Fight AIDS</v>
          </cell>
        </row>
        <row r="403">
          <cell r="B403" t="str">
            <v>GNB-809-G09-S</v>
          </cell>
          <cell r="C403" t="str">
            <v>Financial Closure</v>
          </cell>
          <cell r="D403" t="str">
            <v>Western Africa</v>
          </cell>
          <cell r="E403" t="str">
            <v>GNB</v>
          </cell>
          <cell r="F403" t="str">
            <v>Ministry of Health of Guinea-Bissau</v>
          </cell>
        </row>
        <row r="404">
          <cell r="B404" t="str">
            <v>GNB-910-G11-T</v>
          </cell>
          <cell r="C404" t="str">
            <v>Financial Closure</v>
          </cell>
          <cell r="D404" t="str">
            <v>Western Africa</v>
          </cell>
          <cell r="E404" t="str">
            <v>GNB</v>
          </cell>
          <cell r="F404" t="str">
            <v>Ministry of Health of Guinea-Bissau</v>
          </cell>
        </row>
        <row r="405">
          <cell r="B405" t="str">
            <v>GNB-913-G13-T</v>
          </cell>
          <cell r="C405" t="str">
            <v>Active</v>
          </cell>
          <cell r="D405" t="str">
            <v>Western Africa</v>
          </cell>
          <cell r="E405" t="str">
            <v>GNB</v>
          </cell>
          <cell r="F405" t="str">
            <v>United Nations Development Programme, Guinea-Bissau</v>
          </cell>
        </row>
        <row r="406">
          <cell r="B406" t="str">
            <v>GNB-M-MOH</v>
          </cell>
          <cell r="C406" t="str">
            <v>Financial Closure</v>
          </cell>
          <cell r="D406" t="str">
            <v>Western Africa</v>
          </cell>
          <cell r="E406" t="str">
            <v>GNB</v>
          </cell>
          <cell r="F406" t="str">
            <v>Ministry of Health of Guinea-Bissau</v>
          </cell>
        </row>
        <row r="407">
          <cell r="B407" t="str">
            <v>GNB-M-UNDP</v>
          </cell>
          <cell r="C407" t="str">
            <v>Active</v>
          </cell>
          <cell r="D407" t="str">
            <v>Western Africa</v>
          </cell>
          <cell r="E407" t="str">
            <v>GNB</v>
          </cell>
          <cell r="F407" t="str">
            <v>United Nations Development Programme, Guinea-Bissau</v>
          </cell>
        </row>
        <row r="408">
          <cell r="B408" t="str">
            <v>GYA-304-G01-H</v>
          </cell>
          <cell r="C408" t="str">
            <v>Active</v>
          </cell>
          <cell r="D408" t="str">
            <v>Latin America and Caribbean</v>
          </cell>
          <cell r="E408" t="str">
            <v>GUY</v>
          </cell>
          <cell r="F408" t="str">
            <v>Ministry of Health of Guyana</v>
          </cell>
        </row>
        <row r="409">
          <cell r="B409" t="str">
            <v>GYA-304-G02-M</v>
          </cell>
          <cell r="C409" t="str">
            <v>Administratively Closed</v>
          </cell>
          <cell r="D409" t="str">
            <v>Latin America and Caribbean</v>
          </cell>
          <cell r="E409" t="str">
            <v>GUY</v>
          </cell>
          <cell r="F409" t="str">
            <v>Ministry of Health of Guyana</v>
          </cell>
        </row>
        <row r="410">
          <cell r="B410" t="str">
            <v>GYA-405-G03-T</v>
          </cell>
          <cell r="C410" t="str">
            <v>Administratively Closed</v>
          </cell>
          <cell r="D410" t="str">
            <v>Latin America and Caribbean</v>
          </cell>
          <cell r="E410" t="str">
            <v>GUY</v>
          </cell>
          <cell r="F410" t="str">
            <v>Ministry of Health of Guyana</v>
          </cell>
        </row>
        <row r="411">
          <cell r="B411" t="str">
            <v>GYA-708-G04-M</v>
          </cell>
          <cell r="C411" t="str">
            <v>Administratively Closed</v>
          </cell>
          <cell r="D411" t="str">
            <v>Latin America and Caribbean</v>
          </cell>
          <cell r="E411" t="str">
            <v>GUY</v>
          </cell>
          <cell r="F411" t="str">
            <v>Ministry of Health of Guyana</v>
          </cell>
        </row>
        <row r="412">
          <cell r="B412" t="str">
            <v>GYA-809-G05-S</v>
          </cell>
          <cell r="C412" t="str">
            <v>Administratively Closed</v>
          </cell>
          <cell r="D412" t="str">
            <v>Latin America and Caribbean</v>
          </cell>
          <cell r="E412" t="str">
            <v>GUY</v>
          </cell>
          <cell r="F412" t="str">
            <v>Ministry of Health of Guyana</v>
          </cell>
        </row>
        <row r="413">
          <cell r="B413" t="str">
            <v>GYA-810-G06-T</v>
          </cell>
          <cell r="C413" t="str">
            <v>Active</v>
          </cell>
          <cell r="D413" t="str">
            <v>Latin America and Caribbean</v>
          </cell>
          <cell r="E413" t="str">
            <v>GUY</v>
          </cell>
          <cell r="F413" t="str">
            <v>Ministry of Health of Guyana</v>
          </cell>
        </row>
        <row r="414">
          <cell r="B414" t="str">
            <v>GYA-M-MOH</v>
          </cell>
          <cell r="C414" t="str">
            <v>Active</v>
          </cell>
          <cell r="D414" t="str">
            <v>Latin America and Caribbean</v>
          </cell>
          <cell r="E414" t="str">
            <v>GUY</v>
          </cell>
          <cell r="F414" t="str">
            <v>Ministry of Health of Guyana</v>
          </cell>
        </row>
        <row r="415">
          <cell r="B415" t="str">
            <v>HTI-102-G01-H-00</v>
          </cell>
          <cell r="C415" t="str">
            <v>Administratively Closed</v>
          </cell>
          <cell r="D415" t="str">
            <v>Latin America and Caribbean</v>
          </cell>
          <cell r="E415" t="str">
            <v>HTI</v>
          </cell>
          <cell r="F415" t="str">
            <v>Fondation SOGEBANK</v>
          </cell>
        </row>
        <row r="416">
          <cell r="B416" t="str">
            <v>HTI-102-G02-H-00</v>
          </cell>
          <cell r="C416" t="str">
            <v>Administratively Closed</v>
          </cell>
          <cell r="D416" t="str">
            <v>Latin America and Caribbean</v>
          </cell>
          <cell r="E416" t="str">
            <v>HTI</v>
          </cell>
          <cell r="F416" t="str">
            <v>United Nations Development Programme, Haiti</v>
          </cell>
        </row>
        <row r="417">
          <cell r="B417" t="str">
            <v>HTI-102-G09-H</v>
          </cell>
          <cell r="C417" t="str">
            <v>Active</v>
          </cell>
          <cell r="D417" t="str">
            <v>Latin America and Caribbean</v>
          </cell>
          <cell r="E417" t="str">
            <v>HTI</v>
          </cell>
          <cell r="F417" t="str">
            <v>United Nations Development Programme, Haiti</v>
          </cell>
        </row>
        <row r="418">
          <cell r="B418" t="str">
            <v>HTI-304-G03-M</v>
          </cell>
          <cell r="C418" t="str">
            <v>Administratively Closed</v>
          </cell>
          <cell r="D418" t="str">
            <v>Latin America and Caribbean</v>
          </cell>
          <cell r="E418" t="str">
            <v>HTI</v>
          </cell>
          <cell r="F418" t="str">
            <v>Fondation SOGEBANK</v>
          </cell>
        </row>
        <row r="419">
          <cell r="B419" t="str">
            <v>HTI-304-G04-T</v>
          </cell>
          <cell r="C419" t="str">
            <v>Administratively Closed</v>
          </cell>
          <cell r="D419" t="str">
            <v>Latin America and Caribbean</v>
          </cell>
          <cell r="E419" t="str">
            <v>HTI</v>
          </cell>
          <cell r="F419" t="str">
            <v>Fondation SOGEBANK</v>
          </cell>
        </row>
        <row r="420">
          <cell r="B420" t="str">
            <v>HTI-506-G05-H</v>
          </cell>
          <cell r="C420" t="str">
            <v>Administratively Closed</v>
          </cell>
          <cell r="D420" t="str">
            <v>Latin America and Caribbean</v>
          </cell>
          <cell r="E420" t="str">
            <v>HTI</v>
          </cell>
          <cell r="F420" t="str">
            <v>Fondation SOGEBANK</v>
          </cell>
        </row>
        <row r="421">
          <cell r="B421" t="str">
            <v>HTI-708-G06-H</v>
          </cell>
          <cell r="C421" t="str">
            <v>Administratively Closed</v>
          </cell>
          <cell r="D421" t="str">
            <v>Latin America and Caribbean</v>
          </cell>
          <cell r="E421" t="str">
            <v>HTI</v>
          </cell>
          <cell r="F421" t="str">
            <v>Fondation SOGEBANK</v>
          </cell>
        </row>
        <row r="422">
          <cell r="B422" t="str">
            <v>HTI-811-G07-M</v>
          </cell>
          <cell r="C422" t="str">
            <v>Active</v>
          </cell>
          <cell r="D422" t="str">
            <v>Latin America and Caribbean</v>
          </cell>
          <cell r="E422" t="str">
            <v>HTI</v>
          </cell>
          <cell r="F422" t="str">
            <v>Population Services International, Haiti</v>
          </cell>
        </row>
        <row r="423">
          <cell r="B423" t="str">
            <v>HTI-911-G08-T</v>
          </cell>
          <cell r="C423" t="str">
            <v>Active</v>
          </cell>
          <cell r="D423" t="str">
            <v>Latin America and Caribbean</v>
          </cell>
          <cell r="E423" t="str">
            <v>HTI</v>
          </cell>
          <cell r="F423" t="str">
            <v>United Nations Development Programme, Haiti</v>
          </cell>
        </row>
        <row r="424">
          <cell r="B424" t="str">
            <v>HND-102-G01-H-00</v>
          </cell>
          <cell r="C424" t="str">
            <v>Administratively Closed</v>
          </cell>
          <cell r="D424" t="str">
            <v>Latin America and Caribbean</v>
          </cell>
          <cell r="E424" t="str">
            <v>HND</v>
          </cell>
          <cell r="F424" t="str">
            <v>United Nations Development Programme, Honduras</v>
          </cell>
        </row>
        <row r="425">
          <cell r="B425" t="str">
            <v>HND-102-G02-T-00</v>
          </cell>
          <cell r="C425" t="str">
            <v>Administratively Closed</v>
          </cell>
          <cell r="D425" t="str">
            <v>Latin America and Caribbean</v>
          </cell>
          <cell r="E425" t="str">
            <v>HND</v>
          </cell>
          <cell r="F425" t="str">
            <v>United Nations Development Programme, Honduras</v>
          </cell>
        </row>
        <row r="426">
          <cell r="B426" t="str">
            <v>HND-102-G03-M-00</v>
          </cell>
          <cell r="C426" t="str">
            <v>Administratively Closed</v>
          </cell>
          <cell r="D426" t="str">
            <v>Latin America and Caribbean</v>
          </cell>
          <cell r="E426" t="str">
            <v>HND</v>
          </cell>
          <cell r="F426" t="str">
            <v>United Nations Development Programme, Honduras</v>
          </cell>
        </row>
        <row r="427">
          <cell r="B427" t="str">
            <v>HND-102-G04-H-00</v>
          </cell>
          <cell r="C427" t="str">
            <v>Administratively Closed</v>
          </cell>
          <cell r="D427" t="str">
            <v>Latin America and Caribbean</v>
          </cell>
          <cell r="E427" t="str">
            <v>HND</v>
          </cell>
          <cell r="F427" t="str">
            <v>Cooperative Housing Foundation, Honduras</v>
          </cell>
        </row>
        <row r="428">
          <cell r="B428" t="str">
            <v>HND-102-G05-M-00</v>
          </cell>
          <cell r="C428" t="str">
            <v>Active</v>
          </cell>
          <cell r="D428" t="str">
            <v>Latin America and Caribbean</v>
          </cell>
          <cell r="E428" t="str">
            <v>HND</v>
          </cell>
          <cell r="F428" t="str">
            <v>Cooperative Housing Foundation, Honduras</v>
          </cell>
        </row>
        <row r="429">
          <cell r="B429" t="str">
            <v>HND-H-CHF</v>
          </cell>
          <cell r="C429" t="str">
            <v>Active</v>
          </cell>
          <cell r="D429" t="str">
            <v>Latin America and Caribbean</v>
          </cell>
          <cell r="E429" t="str">
            <v>HND</v>
          </cell>
          <cell r="F429" t="str">
            <v>Cooperative Housing Foundation, Honduras</v>
          </cell>
        </row>
        <row r="430">
          <cell r="B430" t="str">
            <v>HND-M-CHF</v>
          </cell>
          <cell r="C430" t="str">
            <v>Active</v>
          </cell>
          <cell r="D430" t="str">
            <v>Latin America and Caribbean</v>
          </cell>
          <cell r="E430" t="str">
            <v>HND</v>
          </cell>
          <cell r="F430" t="str">
            <v>Cooperative Housing Foundation, Honduras</v>
          </cell>
        </row>
        <row r="431">
          <cell r="B431" t="str">
            <v>HND-T-UECFSS</v>
          </cell>
          <cell r="C431" t="str">
            <v>Active</v>
          </cell>
          <cell r="D431" t="str">
            <v>Latin America and Caribbean</v>
          </cell>
          <cell r="E431" t="str">
            <v>HND</v>
          </cell>
          <cell r="F431" t="str">
            <v>Ministry of Health of Honduras</v>
          </cell>
        </row>
        <row r="432">
          <cell r="B432" t="str">
            <v>IDA-102-G01-T-00</v>
          </cell>
          <cell r="C432" t="str">
            <v>Administratively Closed</v>
          </cell>
          <cell r="D432" t="str">
            <v>High Impact Asia</v>
          </cell>
          <cell r="E432" t="str">
            <v>IND</v>
          </cell>
          <cell r="F432" t="str">
            <v>Department of Economic Affairs, Ministry of Finance of India</v>
          </cell>
        </row>
        <row r="433">
          <cell r="B433" t="str">
            <v>IDA-202-G02-H-00</v>
          </cell>
          <cell r="C433" t="str">
            <v>Active</v>
          </cell>
          <cell r="D433" t="str">
            <v>High Impact Asia</v>
          </cell>
          <cell r="E433" t="str">
            <v>IND</v>
          </cell>
          <cell r="F433" t="str">
            <v>Department of AIDS Control, Ministry of Health and Family Welfare of India</v>
          </cell>
        </row>
        <row r="434">
          <cell r="B434" t="str">
            <v>IDA-202-G03-T-00</v>
          </cell>
          <cell r="C434" t="str">
            <v>Administratively Closed</v>
          </cell>
          <cell r="D434" t="str">
            <v>High Impact Asia</v>
          </cell>
          <cell r="E434" t="str">
            <v>IND</v>
          </cell>
          <cell r="F434" t="str">
            <v>Central TB Division, Directorate General Health Services, India</v>
          </cell>
        </row>
        <row r="435">
          <cell r="B435" t="str">
            <v>IDA-202-G19-H</v>
          </cell>
          <cell r="C435" t="str">
            <v>Active</v>
          </cell>
          <cell r="D435" t="str">
            <v>High Impact Asia</v>
          </cell>
          <cell r="E435" t="str">
            <v>IND</v>
          </cell>
          <cell r="F435" t="str">
            <v>IL&amp;FS Education &amp; Technology Services Ltd.</v>
          </cell>
        </row>
        <row r="436">
          <cell r="B436" t="str">
            <v>IDA-304-G04-C</v>
          </cell>
          <cell r="C436" t="str">
            <v>Administratively Closed</v>
          </cell>
          <cell r="D436" t="str">
            <v>High Impact Asia</v>
          </cell>
          <cell r="E436" t="str">
            <v>IND</v>
          </cell>
          <cell r="F436" t="str">
            <v>Department of Economic Affairs, Ministry of Finance of India</v>
          </cell>
        </row>
        <row r="437">
          <cell r="B437" t="str">
            <v>IDA-405-G05-H</v>
          </cell>
          <cell r="C437" t="str">
            <v>Administratively Closed</v>
          </cell>
          <cell r="D437" t="str">
            <v>High Impact Asia</v>
          </cell>
          <cell r="E437" t="str">
            <v>IND</v>
          </cell>
          <cell r="F437" t="str">
            <v>Population Foundation of India</v>
          </cell>
        </row>
        <row r="438">
          <cell r="B438" t="str">
            <v>IDA-405-G06-H</v>
          </cell>
          <cell r="C438" t="str">
            <v>Active</v>
          </cell>
          <cell r="D438" t="str">
            <v>High Impact Asia</v>
          </cell>
          <cell r="E438" t="str">
            <v>IND</v>
          </cell>
          <cell r="F438" t="str">
            <v>Department of AIDS Control, Ministry of Health and Family Welfare of India</v>
          </cell>
        </row>
        <row r="439">
          <cell r="B439" t="str">
            <v>IDA-405-G07-M</v>
          </cell>
          <cell r="C439" t="str">
            <v>Financial Closure</v>
          </cell>
          <cell r="D439" t="str">
            <v>High Impact Asia</v>
          </cell>
          <cell r="E439" t="str">
            <v>IND</v>
          </cell>
          <cell r="F439" t="str">
            <v>Department of Economic Affairs, Ministry of Finance of India</v>
          </cell>
        </row>
        <row r="440">
          <cell r="B440" t="str">
            <v>IDA-405-G08-T</v>
          </cell>
          <cell r="C440" t="str">
            <v>Administratively Closed</v>
          </cell>
          <cell r="D440" t="str">
            <v>High Impact Asia</v>
          </cell>
          <cell r="E440" t="str">
            <v>IND</v>
          </cell>
          <cell r="F440" t="str">
            <v>Department of Economic Affairs, Ministry of Finance of India</v>
          </cell>
        </row>
        <row r="441">
          <cell r="B441" t="str">
            <v>IDA-607-G09-T</v>
          </cell>
          <cell r="C441" t="str">
            <v>Administratively Closed</v>
          </cell>
          <cell r="D441" t="str">
            <v>High Impact Asia</v>
          </cell>
          <cell r="E441" t="str">
            <v>IND</v>
          </cell>
          <cell r="F441" t="str">
            <v>Central TB Division, Directorate General Health Services, India</v>
          </cell>
        </row>
        <row r="442">
          <cell r="B442" t="str">
            <v>IDA-607-G10-H</v>
          </cell>
          <cell r="C442" t="str">
            <v>Administratively Closed</v>
          </cell>
          <cell r="D442" t="str">
            <v>High Impact Asia</v>
          </cell>
          <cell r="E442" t="str">
            <v>IND</v>
          </cell>
          <cell r="F442" t="str">
            <v>Population Foundation of India</v>
          </cell>
        </row>
        <row r="443">
          <cell r="B443" t="str">
            <v>IDA-607-G11-H</v>
          </cell>
          <cell r="C443" t="str">
            <v>Administratively Closed</v>
          </cell>
          <cell r="D443" t="str">
            <v>High Impact Asia</v>
          </cell>
          <cell r="E443" t="str">
            <v>IND</v>
          </cell>
          <cell r="F443" t="str">
            <v>Department of AIDS Control, Ministry of Health and Family Welfare of India</v>
          </cell>
        </row>
        <row r="444">
          <cell r="B444" t="str">
            <v>IDA-607-G12-H</v>
          </cell>
          <cell r="C444" t="str">
            <v>Administratively Closed</v>
          </cell>
          <cell r="D444" t="str">
            <v>High Impact Asia</v>
          </cell>
          <cell r="E444" t="str">
            <v>IND</v>
          </cell>
          <cell r="F444" t="str">
            <v>India HIV/AIDS Alliance</v>
          </cell>
        </row>
        <row r="445">
          <cell r="B445" t="str">
            <v>IDA-708-G13-H</v>
          </cell>
          <cell r="C445" t="str">
            <v>Active</v>
          </cell>
          <cell r="D445" t="str">
            <v>High Impact Asia</v>
          </cell>
          <cell r="E445" t="str">
            <v>IND</v>
          </cell>
          <cell r="F445" t="str">
            <v>Department of AIDS Control, Ministry of Health and Family Welfare of India</v>
          </cell>
        </row>
        <row r="446">
          <cell r="B446" t="str">
            <v>IDA-708-G14-H</v>
          </cell>
          <cell r="C446" t="str">
            <v>Active</v>
          </cell>
          <cell r="D446" t="str">
            <v>High Impact Asia</v>
          </cell>
          <cell r="E446" t="str">
            <v>IND</v>
          </cell>
          <cell r="F446" t="str">
            <v>Indian Nursing Council</v>
          </cell>
        </row>
        <row r="447">
          <cell r="B447" t="str">
            <v>IDA-708-G15-H</v>
          </cell>
          <cell r="C447" t="str">
            <v>Active</v>
          </cell>
          <cell r="D447" t="str">
            <v>High Impact Asia</v>
          </cell>
          <cell r="E447" t="str">
            <v>IND</v>
          </cell>
          <cell r="F447" t="str">
            <v>Tata Institute of Social Sciences</v>
          </cell>
        </row>
        <row r="448">
          <cell r="B448" t="str">
            <v>IDA-910-G16-T</v>
          </cell>
          <cell r="C448" t="str">
            <v>Administratively Closed</v>
          </cell>
          <cell r="D448" t="str">
            <v>High Impact Asia</v>
          </cell>
          <cell r="E448" t="str">
            <v>IND</v>
          </cell>
          <cell r="F448" t="str">
            <v>International Union Against Tuberculosis and Lung Disease</v>
          </cell>
        </row>
        <row r="449">
          <cell r="B449" t="str">
            <v>IDA-910-G17-T</v>
          </cell>
          <cell r="C449" t="str">
            <v>Administratively Closed</v>
          </cell>
          <cell r="D449" t="str">
            <v>High Impact Asia</v>
          </cell>
          <cell r="E449" t="str">
            <v>IND</v>
          </cell>
          <cell r="F449" t="str">
            <v>World Vision India</v>
          </cell>
        </row>
        <row r="450">
          <cell r="B450" t="str">
            <v>IDA-910-G18-T</v>
          </cell>
          <cell r="C450" t="str">
            <v>Administratively Closed</v>
          </cell>
          <cell r="D450" t="str">
            <v>High Impact Asia</v>
          </cell>
          <cell r="E450" t="str">
            <v>IND</v>
          </cell>
          <cell r="F450" t="str">
            <v>Central TB Division, Directorate General Health Services, India</v>
          </cell>
        </row>
        <row r="451">
          <cell r="B451" t="str">
            <v>IDA-910-G20-H</v>
          </cell>
          <cell r="C451" t="str">
            <v>Administratively Closed</v>
          </cell>
          <cell r="D451" t="str">
            <v>High Impact Asia</v>
          </cell>
          <cell r="E451" t="str">
            <v>IND</v>
          </cell>
          <cell r="F451" t="str">
            <v>India HIV/AIDS Alliance</v>
          </cell>
        </row>
        <row r="452">
          <cell r="B452" t="str">
            <v>IDA-910-G21-H</v>
          </cell>
          <cell r="C452" t="str">
            <v>Active</v>
          </cell>
          <cell r="D452" t="str">
            <v>High Impact Asia</v>
          </cell>
          <cell r="E452" t="str">
            <v>IND</v>
          </cell>
          <cell r="F452" t="str">
            <v>Emmanuel Hospital Association</v>
          </cell>
        </row>
        <row r="453">
          <cell r="B453" t="str">
            <v>IDA-910-G22-M</v>
          </cell>
          <cell r="C453" t="str">
            <v>Active</v>
          </cell>
          <cell r="D453" t="str">
            <v>High Impact Asia</v>
          </cell>
          <cell r="E453" t="str">
            <v>IND</v>
          </cell>
          <cell r="F453" t="str">
            <v>Caritas India</v>
          </cell>
        </row>
        <row r="454">
          <cell r="B454" t="str">
            <v>IDA-910-G24-H</v>
          </cell>
          <cell r="C454" t="str">
            <v>Administratively Closed</v>
          </cell>
          <cell r="D454" t="str">
            <v>High Impact Asia</v>
          </cell>
          <cell r="E454" t="str">
            <v>IND</v>
          </cell>
          <cell r="F454" t="str">
            <v>Department of Economic Affairs, Ministry of Finance of India</v>
          </cell>
        </row>
        <row r="455">
          <cell r="B455" t="str">
            <v>IDA-911-G23-M</v>
          </cell>
          <cell r="C455" t="str">
            <v>Active</v>
          </cell>
          <cell r="D455" t="str">
            <v>High Impact Asia</v>
          </cell>
          <cell r="E455" t="str">
            <v>IND</v>
          </cell>
          <cell r="F455" t="str">
            <v>Department of Economic Affairs, Ministry of Finance of India</v>
          </cell>
        </row>
        <row r="456">
          <cell r="B456" t="str">
            <v>IDA-H-IHAA</v>
          </cell>
          <cell r="C456" t="str">
            <v>Active</v>
          </cell>
          <cell r="D456" t="str">
            <v>High Impact Asia</v>
          </cell>
          <cell r="E456" t="str">
            <v>IND</v>
          </cell>
          <cell r="F456" t="str">
            <v>India HIV/AIDS Alliance</v>
          </cell>
        </row>
        <row r="457">
          <cell r="B457" t="str">
            <v>IDA-T-CTD</v>
          </cell>
          <cell r="C457" t="str">
            <v>Active</v>
          </cell>
          <cell r="D457" t="str">
            <v>High Impact Asia</v>
          </cell>
          <cell r="E457" t="str">
            <v>IND</v>
          </cell>
          <cell r="F457" t="str">
            <v>Central TB Division, Directorate General Health Services, India</v>
          </cell>
        </row>
        <row r="458">
          <cell r="B458" t="str">
            <v>IDA-T-IUATLD</v>
          </cell>
          <cell r="C458" t="str">
            <v>Active</v>
          </cell>
          <cell r="D458" t="str">
            <v>High Impact Asia</v>
          </cell>
          <cell r="E458" t="str">
            <v>IND</v>
          </cell>
          <cell r="F458" t="str">
            <v>International Union Against Tuberculosis and Lung Disease</v>
          </cell>
        </row>
        <row r="459">
          <cell r="B459" t="str">
            <v>IDA-T-WVI</v>
          </cell>
          <cell r="C459" t="str">
            <v>Active</v>
          </cell>
          <cell r="D459" t="str">
            <v>High Impact Asia</v>
          </cell>
          <cell r="E459" t="str">
            <v>IND</v>
          </cell>
          <cell r="F459" t="str">
            <v>World Vision India</v>
          </cell>
        </row>
        <row r="460">
          <cell r="B460" t="str">
            <v>IDN-M-MOH</v>
          </cell>
          <cell r="C460" t="str">
            <v>Active</v>
          </cell>
          <cell r="D460" t="str">
            <v>High Impact Asia</v>
          </cell>
          <cell r="E460" t="str">
            <v>IDN</v>
          </cell>
          <cell r="F460" t="str">
            <v>Ministry of Health of Indonesia - Directorate of Vector Borne Disease Control</v>
          </cell>
        </row>
        <row r="461">
          <cell r="B461" t="str">
            <v>IDN-M-PERDHAK</v>
          </cell>
          <cell r="C461" t="str">
            <v>Active</v>
          </cell>
          <cell r="D461" t="str">
            <v>High Impact Asia</v>
          </cell>
          <cell r="E461" t="str">
            <v>IDN</v>
          </cell>
          <cell r="F461" t="str">
            <v>PERDHAKI - Indonesian association for voluntary health services</v>
          </cell>
        </row>
        <row r="462">
          <cell r="B462" t="str">
            <v>IND-102-G01-T-00</v>
          </cell>
          <cell r="C462" t="str">
            <v>Administratively Closed</v>
          </cell>
          <cell r="D462" t="str">
            <v>High Impact Asia</v>
          </cell>
          <cell r="E462" t="str">
            <v>IDN</v>
          </cell>
          <cell r="F462" t="str">
            <v>Ministry of Health of Indonesia - Dir. of Disease Control &amp; Environmental Health</v>
          </cell>
        </row>
        <row r="463">
          <cell r="B463" t="str">
            <v>IND-102-G02-M-00</v>
          </cell>
          <cell r="C463" t="str">
            <v>Administratively Closed</v>
          </cell>
          <cell r="D463" t="str">
            <v>High Impact Asia</v>
          </cell>
          <cell r="E463" t="str">
            <v>IDN</v>
          </cell>
          <cell r="F463" t="str">
            <v>Ministry of Health of Indonesia - Directorate of Vector Borne Disease Control</v>
          </cell>
        </row>
        <row r="464">
          <cell r="B464" t="str">
            <v>IND-102-G03-H-00</v>
          </cell>
          <cell r="C464" t="str">
            <v>Administratively Closed</v>
          </cell>
          <cell r="D464" t="str">
            <v>High Impact Asia</v>
          </cell>
          <cell r="E464" t="str">
            <v>IDN</v>
          </cell>
          <cell r="F464" t="str">
            <v>Ministry of Health of Indonesia - Dir. of Disease Control &amp; Environmental Health</v>
          </cell>
        </row>
        <row r="465">
          <cell r="B465" t="str">
            <v>IND-405-G04-H</v>
          </cell>
          <cell r="C465" t="str">
            <v>Administratively Closed</v>
          </cell>
          <cell r="D465" t="str">
            <v>High Impact Asia</v>
          </cell>
          <cell r="E465" t="str">
            <v>IDN</v>
          </cell>
          <cell r="F465" t="str">
            <v>Ministry of Health of Indonesia - Dir. of Disease Control &amp; Environmental Health</v>
          </cell>
        </row>
        <row r="466">
          <cell r="B466" t="str">
            <v>IND-506-G05-T</v>
          </cell>
          <cell r="C466" t="str">
            <v>Administratively Closed</v>
          </cell>
          <cell r="D466" t="str">
            <v>High Impact Asia</v>
          </cell>
          <cell r="E466" t="str">
            <v>IDN</v>
          </cell>
          <cell r="F466" t="str">
            <v>Ministry of Health of Indonesia - Dir. of Disease Control &amp; Environmental Health</v>
          </cell>
        </row>
        <row r="467">
          <cell r="B467" t="str">
            <v>IND-607-G06-M</v>
          </cell>
          <cell r="C467" t="str">
            <v>Administratively Closed</v>
          </cell>
          <cell r="D467" t="str">
            <v>High Impact Asia</v>
          </cell>
          <cell r="E467" t="str">
            <v>IDN</v>
          </cell>
          <cell r="F467" t="str">
            <v>Ministry of Health of Indonesia - Dir. of Disease Control &amp; Environmental Health</v>
          </cell>
        </row>
        <row r="468">
          <cell r="B468" t="str">
            <v>IND-809-G07-H</v>
          </cell>
          <cell r="C468" t="str">
            <v>Administratively Closed</v>
          </cell>
          <cell r="D468" t="str">
            <v>High Impact Asia</v>
          </cell>
          <cell r="E468" t="str">
            <v>IDN</v>
          </cell>
          <cell r="F468" t="str">
            <v>National AIDS Commission of Indonesia</v>
          </cell>
        </row>
        <row r="469">
          <cell r="B469" t="str">
            <v>IND-809-G08-H</v>
          </cell>
          <cell r="C469" t="str">
            <v>Administratively Closed</v>
          </cell>
          <cell r="D469" t="str">
            <v>High Impact Asia</v>
          </cell>
          <cell r="E469" t="str">
            <v>IDN</v>
          </cell>
          <cell r="F469" t="str">
            <v>Ministry of Health of Indonesia - Dir. of Disease Control &amp; Environmental Health</v>
          </cell>
        </row>
        <row r="470">
          <cell r="B470" t="str">
            <v>IND-809-G09-H</v>
          </cell>
          <cell r="C470" t="str">
            <v>Administratively Closed</v>
          </cell>
          <cell r="D470" t="str">
            <v>High Impact Asia</v>
          </cell>
          <cell r="E470" t="str">
            <v>IDN</v>
          </cell>
          <cell r="F470" t="str">
            <v>Indonesian Planned Parenthood Association</v>
          </cell>
        </row>
        <row r="471">
          <cell r="B471" t="str">
            <v>IND-809-G10-T</v>
          </cell>
          <cell r="C471" t="str">
            <v>Administratively Closed</v>
          </cell>
          <cell r="D471" t="str">
            <v>High Impact Asia</v>
          </cell>
          <cell r="E471" t="str">
            <v>IDN</v>
          </cell>
          <cell r="F471" t="str">
            <v>Central Board of Aisyiyah</v>
          </cell>
        </row>
        <row r="472">
          <cell r="B472" t="str">
            <v>IND-809-G11-T</v>
          </cell>
          <cell r="C472" t="str">
            <v>Administratively Closed</v>
          </cell>
          <cell r="D472" t="str">
            <v>High Impact Asia</v>
          </cell>
          <cell r="E472" t="str">
            <v>IDN</v>
          </cell>
          <cell r="F472" t="str">
            <v>Ministry of Health of Indonesia - Dir. of Disease Control &amp; Environmental Health</v>
          </cell>
        </row>
        <row r="473">
          <cell r="B473" t="str">
            <v>IND-809-G12-T</v>
          </cell>
          <cell r="C473" t="str">
            <v>Financial Closure</v>
          </cell>
          <cell r="D473" t="str">
            <v>High Impact Asia</v>
          </cell>
          <cell r="E473" t="str">
            <v>IDN</v>
          </cell>
          <cell r="F473" t="str">
            <v>Faculty of Public Health, University of Indonesia</v>
          </cell>
        </row>
        <row r="474">
          <cell r="B474" t="str">
            <v>IND-809-G13-M</v>
          </cell>
          <cell r="C474" t="str">
            <v>Active</v>
          </cell>
          <cell r="D474" t="str">
            <v>High Impact Asia</v>
          </cell>
          <cell r="E474" t="str">
            <v>IDN</v>
          </cell>
          <cell r="F474" t="str">
            <v>PERDHAKI - Indonesian association for voluntary health services</v>
          </cell>
        </row>
        <row r="475">
          <cell r="B475" t="str">
            <v>IND-809-G14-M</v>
          </cell>
          <cell r="C475" t="str">
            <v>Administratively Closed</v>
          </cell>
          <cell r="D475" t="str">
            <v>High Impact Asia</v>
          </cell>
          <cell r="E475" t="str">
            <v>IDN</v>
          </cell>
          <cell r="F475" t="str">
            <v>Ministry of Health of Indonesia - Directorate of Vector Borne Disease Control</v>
          </cell>
        </row>
        <row r="476">
          <cell r="B476" t="str">
            <v>IND-910-G15-H</v>
          </cell>
          <cell r="C476" t="str">
            <v>Administratively Closed</v>
          </cell>
          <cell r="D476" t="str">
            <v>High Impact Asia</v>
          </cell>
          <cell r="E476" t="str">
            <v>IDN</v>
          </cell>
          <cell r="F476" t="str">
            <v>Nahdlatul Ulama</v>
          </cell>
        </row>
        <row r="477">
          <cell r="B477" t="str">
            <v>IND-H-IPPA</v>
          </cell>
          <cell r="C477" t="str">
            <v>Active</v>
          </cell>
          <cell r="D477" t="str">
            <v>High Impact Asia</v>
          </cell>
          <cell r="E477" t="str">
            <v>IDN</v>
          </cell>
          <cell r="F477" t="str">
            <v>Indonesian Planned Parenthood Association</v>
          </cell>
        </row>
        <row r="478">
          <cell r="B478" t="str">
            <v>IND-H-MOH</v>
          </cell>
          <cell r="C478" t="str">
            <v>Active</v>
          </cell>
          <cell r="D478" t="str">
            <v>High Impact Asia</v>
          </cell>
          <cell r="E478" t="str">
            <v>IDN</v>
          </cell>
          <cell r="F478" t="str">
            <v>Ministry of Health of Indonesia - Dir. of Disease Control &amp; Environmental Health</v>
          </cell>
        </row>
        <row r="479">
          <cell r="B479" t="str">
            <v>IND-H-NAC</v>
          </cell>
          <cell r="C479" t="str">
            <v>Active</v>
          </cell>
          <cell r="D479" t="str">
            <v>High Impact Asia</v>
          </cell>
          <cell r="E479" t="str">
            <v>IDN</v>
          </cell>
          <cell r="F479" t="str">
            <v>National AIDS Commission of Indonesia</v>
          </cell>
        </row>
        <row r="480">
          <cell r="B480" t="str">
            <v>IND-H-NU</v>
          </cell>
          <cell r="C480" t="str">
            <v>Active</v>
          </cell>
          <cell r="D480" t="str">
            <v>High Impact Asia</v>
          </cell>
          <cell r="E480" t="str">
            <v>IDN</v>
          </cell>
          <cell r="F480" t="str">
            <v>Nahdlatul Ulama</v>
          </cell>
        </row>
        <row r="481">
          <cell r="B481" t="str">
            <v>IND-S-MOH</v>
          </cell>
          <cell r="C481" t="str">
            <v>Active</v>
          </cell>
          <cell r="D481" t="str">
            <v>High Impact Asia</v>
          </cell>
          <cell r="E481" t="str">
            <v>IDN</v>
          </cell>
          <cell r="F481" t="str">
            <v>Secretariat General, Ministry of Health, Indonesia</v>
          </cell>
        </row>
        <row r="482">
          <cell r="B482" t="str">
            <v>IND-T-AISYIYA</v>
          </cell>
          <cell r="C482" t="str">
            <v>Active</v>
          </cell>
          <cell r="D482" t="str">
            <v>High Impact Asia</v>
          </cell>
          <cell r="E482" t="str">
            <v>IDN</v>
          </cell>
          <cell r="F482" t="str">
            <v>Central Board of Aisyiyah</v>
          </cell>
        </row>
        <row r="483">
          <cell r="B483" t="str">
            <v>IND-T-MOH</v>
          </cell>
          <cell r="C483" t="str">
            <v>Active</v>
          </cell>
          <cell r="D483" t="str">
            <v>High Impact Asia</v>
          </cell>
          <cell r="E483" t="str">
            <v>IDN</v>
          </cell>
          <cell r="F483" t="str">
            <v>Ministry of Health of Indonesia - Dir. of Disease Control &amp; Environmental Health</v>
          </cell>
        </row>
        <row r="484">
          <cell r="B484" t="str">
            <v>IRN-202-G01-H-00</v>
          </cell>
          <cell r="C484" t="str">
            <v>Administratively Closed</v>
          </cell>
          <cell r="D484" t="str">
            <v>South East Asia</v>
          </cell>
          <cell r="E484" t="str">
            <v>IRN</v>
          </cell>
          <cell r="F484" t="str">
            <v>United Nations Development Programme, Iran</v>
          </cell>
        </row>
        <row r="485">
          <cell r="B485" t="str">
            <v>IRN-708-G02-M</v>
          </cell>
          <cell r="C485" t="str">
            <v>Administratively Closed</v>
          </cell>
          <cell r="D485" t="str">
            <v>South East Asia</v>
          </cell>
          <cell r="E485" t="str">
            <v>IRN</v>
          </cell>
          <cell r="F485" t="str">
            <v>United Nations Development Programme, Iran</v>
          </cell>
        </row>
        <row r="486">
          <cell r="B486" t="str">
            <v>IRN-708-G03-T</v>
          </cell>
          <cell r="C486" t="str">
            <v>Financial Closure</v>
          </cell>
          <cell r="D486" t="str">
            <v>South East Asia</v>
          </cell>
          <cell r="E486" t="str">
            <v>IRN</v>
          </cell>
          <cell r="F486" t="str">
            <v>United Nations Development Programme, Iran</v>
          </cell>
        </row>
        <row r="487">
          <cell r="B487" t="str">
            <v>IRN-810-G04-H</v>
          </cell>
          <cell r="C487" t="str">
            <v>Active</v>
          </cell>
          <cell r="D487" t="str">
            <v>South East Asia</v>
          </cell>
          <cell r="E487" t="str">
            <v>IRN</v>
          </cell>
          <cell r="F487" t="str">
            <v>United Nations Development Programme, Iran</v>
          </cell>
        </row>
        <row r="488">
          <cell r="B488" t="str">
            <v>IRN-H-UNDP</v>
          </cell>
          <cell r="C488" t="str">
            <v>N.D.</v>
          </cell>
          <cell r="D488" t="str">
            <v>South East Asia</v>
          </cell>
          <cell r="E488" t="str">
            <v>IRN</v>
          </cell>
          <cell r="F488" t="str">
            <v>Not Defined</v>
          </cell>
        </row>
        <row r="489">
          <cell r="B489" t="str">
            <v>IRN-M-UNDP</v>
          </cell>
          <cell r="C489" t="str">
            <v>Active</v>
          </cell>
          <cell r="D489" t="str">
            <v>South East Asia</v>
          </cell>
          <cell r="E489" t="str">
            <v>IRN</v>
          </cell>
          <cell r="F489" t="str">
            <v>United Nations Development Programme, Iran</v>
          </cell>
        </row>
        <row r="490">
          <cell r="B490" t="str">
            <v>IRQ-607-G01-T</v>
          </cell>
          <cell r="C490" t="str">
            <v>Administratively Closed</v>
          </cell>
          <cell r="D490" t="str">
            <v>Middle East and North Africa</v>
          </cell>
          <cell r="E490" t="str">
            <v>IRQ</v>
          </cell>
          <cell r="F490" t="str">
            <v>United Nations Development Programme, Iraq</v>
          </cell>
        </row>
        <row r="491">
          <cell r="B491" t="str">
            <v>IRQ-T-UNDP</v>
          </cell>
          <cell r="C491" t="str">
            <v>Active</v>
          </cell>
          <cell r="D491" t="str">
            <v>Middle East and North Africa</v>
          </cell>
          <cell r="E491" t="str">
            <v>IRQ</v>
          </cell>
          <cell r="F491" t="str">
            <v>United Nations Development Programme, Iraq</v>
          </cell>
        </row>
        <row r="492">
          <cell r="B492" t="str">
            <v>JAM-304-G01-H</v>
          </cell>
          <cell r="C492" t="str">
            <v>Administratively Closed</v>
          </cell>
          <cell r="D492" t="str">
            <v>Latin America and Caribbean</v>
          </cell>
          <cell r="E492" t="str">
            <v>JAM</v>
          </cell>
          <cell r="F492" t="str">
            <v>Ministry of Health of Jamaica</v>
          </cell>
        </row>
        <row r="493">
          <cell r="B493" t="str">
            <v>JAM-708-G02-H</v>
          </cell>
          <cell r="C493" t="str">
            <v>Active</v>
          </cell>
          <cell r="D493" t="str">
            <v>Latin America and Caribbean</v>
          </cell>
          <cell r="E493" t="str">
            <v>JAM</v>
          </cell>
          <cell r="F493" t="str">
            <v>Ministry of Health of Jamaica</v>
          </cell>
        </row>
        <row r="494">
          <cell r="B494" t="str">
            <v>JOR-011-G04-T</v>
          </cell>
          <cell r="C494" t="str">
            <v>Active</v>
          </cell>
          <cell r="D494" t="str">
            <v>Middle East and North Africa</v>
          </cell>
          <cell r="E494" t="str">
            <v>JOR</v>
          </cell>
          <cell r="F494" t="str">
            <v>National Tuberculosis Program, Ministry of Health of Jordan</v>
          </cell>
        </row>
        <row r="495">
          <cell r="B495" t="str">
            <v>JOR-202-G01-H-00</v>
          </cell>
          <cell r="C495" t="str">
            <v>Administratively Closed</v>
          </cell>
          <cell r="D495" t="str">
            <v>Middle East and North Africa</v>
          </cell>
          <cell r="E495" t="str">
            <v>JOR</v>
          </cell>
          <cell r="F495" t="str">
            <v>Communicable Diseases Directorate, Ministry of Health of Jordan</v>
          </cell>
        </row>
        <row r="496">
          <cell r="B496" t="str">
            <v>JOR-506-G02-T</v>
          </cell>
          <cell r="C496" t="str">
            <v>Administratively Closed</v>
          </cell>
          <cell r="D496" t="str">
            <v>Middle East and North Africa</v>
          </cell>
          <cell r="E496" t="str">
            <v>JOR</v>
          </cell>
          <cell r="F496" t="str">
            <v>National Tuberculosis Program, Ministry of Health of Jordan</v>
          </cell>
        </row>
        <row r="497">
          <cell r="B497" t="str">
            <v>JOR-607-G03-H</v>
          </cell>
          <cell r="C497" t="str">
            <v>Active</v>
          </cell>
          <cell r="D497" t="str">
            <v>Middle East and North Africa</v>
          </cell>
          <cell r="E497" t="str">
            <v>JOR</v>
          </cell>
          <cell r="F497" t="str">
            <v>Communicable Diseases Directorate, Ministry of Health of Jordan</v>
          </cell>
        </row>
        <row r="498">
          <cell r="B498" t="str">
            <v>KAZ-202-G01-H-00</v>
          </cell>
          <cell r="C498" t="str">
            <v>Administratively Closed</v>
          </cell>
          <cell r="D498" t="str">
            <v>Eastern Europe and Central Asia</v>
          </cell>
          <cell r="E498" t="str">
            <v>KAZ</v>
          </cell>
          <cell r="F498" t="str">
            <v>Ministry of Health of Kazakhstan - Republican AIDS Center</v>
          </cell>
        </row>
        <row r="499">
          <cell r="B499" t="str">
            <v>KAZ-607-G02-T</v>
          </cell>
          <cell r="C499" t="str">
            <v>Financial Closure</v>
          </cell>
          <cell r="D499" t="str">
            <v>Eastern Europe and Central Asia</v>
          </cell>
          <cell r="E499" t="str">
            <v>KAZ</v>
          </cell>
          <cell r="F499" t="str">
            <v>Ministry of Health of Kazakhstan - National Center of TB Problems</v>
          </cell>
        </row>
        <row r="500">
          <cell r="B500" t="str">
            <v>KAZ-708-G03-H</v>
          </cell>
          <cell r="C500" t="str">
            <v>Administratively Closed</v>
          </cell>
          <cell r="D500" t="str">
            <v>Eastern Europe and Central Asia</v>
          </cell>
          <cell r="E500" t="str">
            <v>KAZ</v>
          </cell>
          <cell r="F500" t="str">
            <v>Ministry of Health of Kazakhstan - Republican AIDS Center</v>
          </cell>
        </row>
        <row r="501">
          <cell r="B501" t="str">
            <v>KAZ-809-G04-T</v>
          </cell>
          <cell r="C501" t="str">
            <v>Active</v>
          </cell>
          <cell r="D501" t="str">
            <v>Eastern Europe and Central Asia</v>
          </cell>
          <cell r="E501" t="str">
            <v>KAZ</v>
          </cell>
          <cell r="F501" t="str">
            <v>Ministry of Health of Kazakhstan - National Center of TB Problems</v>
          </cell>
        </row>
        <row r="502">
          <cell r="B502" t="str">
            <v>KAZ-H-RAC</v>
          </cell>
          <cell r="C502" t="str">
            <v>Active</v>
          </cell>
          <cell r="D502" t="str">
            <v>Eastern Europe and Central Asia</v>
          </cell>
          <cell r="E502" t="str">
            <v>KAZ</v>
          </cell>
          <cell r="F502" t="str">
            <v>Ministry of Health of Kazakhstan - Republican AIDS Center</v>
          </cell>
        </row>
        <row r="503">
          <cell r="B503" t="str">
            <v>KAZ-T-HOPE</v>
          </cell>
          <cell r="C503" t="str">
            <v>Active</v>
          </cell>
          <cell r="D503" t="str">
            <v>Eastern Europe and Central Asia</v>
          </cell>
          <cell r="E503" t="str">
            <v>KAZ</v>
          </cell>
          <cell r="F503" t="str">
            <v>Project Hope, Kazakhstan</v>
          </cell>
        </row>
        <row r="504">
          <cell r="B504" t="str">
            <v>KAZ-T-NCTP</v>
          </cell>
          <cell r="C504" t="str">
            <v>Active</v>
          </cell>
          <cell r="D504" t="str">
            <v>Eastern Europe and Central Asia</v>
          </cell>
          <cell r="E504" t="str">
            <v>KAZ</v>
          </cell>
          <cell r="F504" t="str">
            <v>Ministry of Health of Kazakhstan - National Center of TB Problems</v>
          </cell>
        </row>
        <row r="505">
          <cell r="B505" t="str">
            <v>KEN-011-G13-M</v>
          </cell>
          <cell r="C505" t="str">
            <v>Active</v>
          </cell>
          <cell r="D505" t="str">
            <v>High Impact Africa 2</v>
          </cell>
          <cell r="E505" t="str">
            <v>KEN</v>
          </cell>
          <cell r="F505" t="str">
            <v>National Treasury</v>
          </cell>
        </row>
        <row r="506">
          <cell r="B506" t="str">
            <v>KEN-011-G14-M</v>
          </cell>
          <cell r="C506" t="str">
            <v>Active</v>
          </cell>
          <cell r="D506" t="str">
            <v>High Impact Africa 2</v>
          </cell>
          <cell r="E506" t="str">
            <v>KEN</v>
          </cell>
          <cell r="F506" t="str">
            <v>African Medical and Research Foundation in Kenya</v>
          </cell>
        </row>
        <row r="507">
          <cell r="B507" t="str">
            <v>KEN-102-G01-H-00</v>
          </cell>
          <cell r="C507" t="str">
            <v>Financial Closure</v>
          </cell>
          <cell r="D507" t="str">
            <v>High Impact Africa 2</v>
          </cell>
          <cell r="E507" t="str">
            <v>KEN</v>
          </cell>
          <cell r="F507" t="str">
            <v>Sanaa Art Promotions</v>
          </cell>
        </row>
        <row r="508">
          <cell r="B508" t="str">
            <v>KEN-102-G02-H-00</v>
          </cell>
          <cell r="C508" t="str">
            <v>Financial Closure</v>
          </cell>
          <cell r="D508" t="str">
            <v>High Impact Africa 2</v>
          </cell>
          <cell r="E508" t="str">
            <v>KEN</v>
          </cell>
          <cell r="F508" t="str">
            <v>Kenya Network of Women With AIDS</v>
          </cell>
        </row>
        <row r="509">
          <cell r="B509" t="str">
            <v>KEN-202-G03-H-00</v>
          </cell>
          <cell r="C509" t="str">
            <v>Financial Closure</v>
          </cell>
          <cell r="D509" t="str">
            <v>High Impact Africa 2</v>
          </cell>
          <cell r="E509" t="str">
            <v>KEN</v>
          </cell>
          <cell r="F509" t="str">
            <v>National Treasury</v>
          </cell>
        </row>
        <row r="510">
          <cell r="B510" t="str">
            <v>KEN-202-G04-T-00</v>
          </cell>
          <cell r="C510" t="str">
            <v>Financial Closure</v>
          </cell>
          <cell r="D510" t="str">
            <v>High Impact Africa 2</v>
          </cell>
          <cell r="E510" t="str">
            <v>KEN</v>
          </cell>
          <cell r="F510" t="str">
            <v>National Treasury</v>
          </cell>
        </row>
        <row r="511">
          <cell r="B511" t="str">
            <v>KEN-202-G05-M-00</v>
          </cell>
          <cell r="C511" t="str">
            <v>Financial Closure</v>
          </cell>
          <cell r="D511" t="str">
            <v>High Impact Africa 2</v>
          </cell>
          <cell r="E511" t="str">
            <v>KEN</v>
          </cell>
          <cell r="F511" t="str">
            <v>National Treasury</v>
          </cell>
        </row>
        <row r="512">
          <cell r="B512" t="str">
            <v>KEN-405-G06-M</v>
          </cell>
          <cell r="C512" t="str">
            <v>Financial Closure</v>
          </cell>
          <cell r="D512" t="str">
            <v>High Impact Africa 2</v>
          </cell>
          <cell r="E512" t="str">
            <v>KEN</v>
          </cell>
          <cell r="F512" t="str">
            <v>National Treasury</v>
          </cell>
        </row>
        <row r="513">
          <cell r="B513" t="str">
            <v>KEN-506-G07-T</v>
          </cell>
          <cell r="C513" t="str">
            <v>Administratively Closed</v>
          </cell>
          <cell r="D513" t="str">
            <v>High Impact Africa 2</v>
          </cell>
          <cell r="E513" t="str">
            <v>KEN</v>
          </cell>
          <cell r="F513" t="str">
            <v>National Treasury</v>
          </cell>
        </row>
        <row r="514">
          <cell r="B514" t="str">
            <v>KEN-607-G08-T</v>
          </cell>
          <cell r="C514" t="str">
            <v>Administratively Closed</v>
          </cell>
          <cell r="D514" t="str">
            <v>High Impact Africa 2</v>
          </cell>
          <cell r="E514" t="str">
            <v>KEN</v>
          </cell>
          <cell r="F514" t="str">
            <v>National Treasury</v>
          </cell>
        </row>
        <row r="515">
          <cell r="B515" t="str">
            <v>KEN-708-G09-H</v>
          </cell>
          <cell r="C515" t="str">
            <v>Administratively Closed</v>
          </cell>
          <cell r="D515" t="str">
            <v>High Impact Africa 2</v>
          </cell>
          <cell r="E515" t="str">
            <v>KEN</v>
          </cell>
          <cell r="F515" t="str">
            <v>National Treasury</v>
          </cell>
        </row>
        <row r="516">
          <cell r="B516" t="str">
            <v>KEN-708-G10-H</v>
          </cell>
          <cell r="C516" t="str">
            <v>Active</v>
          </cell>
          <cell r="D516" t="str">
            <v>High Impact Africa 2</v>
          </cell>
          <cell r="E516" t="str">
            <v>KEN</v>
          </cell>
          <cell r="F516" t="str">
            <v>CARE International in Kenya</v>
          </cell>
        </row>
        <row r="517">
          <cell r="B517" t="str">
            <v>KEN-H-KRC</v>
          </cell>
          <cell r="C517" t="str">
            <v>Active</v>
          </cell>
          <cell r="D517" t="str">
            <v>High Impact Africa 2</v>
          </cell>
          <cell r="E517" t="str">
            <v>KEN</v>
          </cell>
          <cell r="F517" t="str">
            <v>Kenya Red Cross Society</v>
          </cell>
        </row>
        <row r="518">
          <cell r="B518" t="str">
            <v>KEN-H-MOF</v>
          </cell>
          <cell r="C518" t="str">
            <v>Active</v>
          </cell>
          <cell r="D518" t="str">
            <v>High Impact Africa 2</v>
          </cell>
          <cell r="E518" t="str">
            <v>KEN</v>
          </cell>
          <cell r="F518" t="str">
            <v>National Treasury</v>
          </cell>
        </row>
        <row r="519">
          <cell r="B519" t="str">
            <v>KEN-S11-G11-T</v>
          </cell>
          <cell r="C519" t="str">
            <v>Active</v>
          </cell>
          <cell r="D519" t="str">
            <v>High Impact Africa 2</v>
          </cell>
          <cell r="E519" t="str">
            <v>KEN</v>
          </cell>
          <cell r="F519" t="str">
            <v>African Medical and Research Foundation in Kenya</v>
          </cell>
        </row>
        <row r="520">
          <cell r="B520" t="str">
            <v>KEN-S11-G12-T</v>
          </cell>
          <cell r="C520" t="str">
            <v>Active</v>
          </cell>
          <cell r="D520" t="str">
            <v>High Impact Africa 2</v>
          </cell>
          <cell r="E520" t="str">
            <v>KEN</v>
          </cell>
          <cell r="F520" t="str">
            <v>National Treasury</v>
          </cell>
        </row>
        <row r="521">
          <cell r="B521" t="str">
            <v>PRK-810-G01-M</v>
          </cell>
          <cell r="C521" t="str">
            <v>Active</v>
          </cell>
          <cell r="D521" t="str">
            <v>South East Asia</v>
          </cell>
          <cell r="E521" t="str">
            <v>PRK</v>
          </cell>
          <cell r="F521" t="str">
            <v>United Nations Children's Fund, PRK</v>
          </cell>
        </row>
        <row r="522">
          <cell r="B522" t="str">
            <v>PRK-810-G02-T</v>
          </cell>
          <cell r="C522" t="str">
            <v>Active</v>
          </cell>
          <cell r="D522" t="str">
            <v>South East Asia</v>
          </cell>
          <cell r="E522" t="str">
            <v>PRK</v>
          </cell>
          <cell r="F522" t="str">
            <v>United Nations Children's Fund, PRK</v>
          </cell>
        </row>
        <row r="523">
          <cell r="B523" t="str">
            <v>PRK-M-UNICEF</v>
          </cell>
          <cell r="C523" t="str">
            <v>Active</v>
          </cell>
          <cell r="D523" t="str">
            <v>South East Asia</v>
          </cell>
          <cell r="E523" t="str">
            <v>PRK</v>
          </cell>
          <cell r="F523" t="str">
            <v>United Nations Children's Fund, PRK</v>
          </cell>
        </row>
        <row r="524">
          <cell r="B524" t="str">
            <v>KOS-405-G01-T</v>
          </cell>
          <cell r="C524" t="str">
            <v>Administratively Closed</v>
          </cell>
          <cell r="D524" t="str">
            <v>Eastern Europe and Central Asia</v>
          </cell>
          <cell r="E524" t="str">
            <v>QNA</v>
          </cell>
          <cell r="F524" t="str">
            <v>Ministry of Health of Kosovo</v>
          </cell>
        </row>
        <row r="525">
          <cell r="B525" t="str">
            <v>KOS-708-G02-H</v>
          </cell>
          <cell r="C525" t="str">
            <v>Administratively Closed</v>
          </cell>
          <cell r="D525" t="str">
            <v>Eastern Europe and Central Asia</v>
          </cell>
          <cell r="E525" t="str">
            <v>QNA</v>
          </cell>
          <cell r="F525" t="str">
            <v>Ministry of Health of Kosovo</v>
          </cell>
        </row>
        <row r="526">
          <cell r="B526" t="str">
            <v>KOS-711-G04-H</v>
          </cell>
          <cell r="C526" t="str">
            <v>Active</v>
          </cell>
          <cell r="D526" t="str">
            <v>Eastern Europe and Central Asia</v>
          </cell>
          <cell r="E526" t="str">
            <v>QNA</v>
          </cell>
          <cell r="F526" t="str">
            <v>Community Development Fund</v>
          </cell>
        </row>
        <row r="527">
          <cell r="B527" t="str">
            <v>KOS-911-G03-T</v>
          </cell>
          <cell r="C527" t="str">
            <v>Administratively Closed</v>
          </cell>
          <cell r="D527" t="str">
            <v>Eastern Europe and Central Asia</v>
          </cell>
          <cell r="E527" t="str">
            <v>QNA</v>
          </cell>
          <cell r="F527" t="str">
            <v>Ministry of Health of Kosovo</v>
          </cell>
        </row>
        <row r="528">
          <cell r="B528" t="str">
            <v>KOS-911-G05-T</v>
          </cell>
          <cell r="C528" t="str">
            <v>Active</v>
          </cell>
          <cell r="D528" t="str">
            <v>Eastern Europe and Central Asia</v>
          </cell>
          <cell r="E528" t="str">
            <v>QNA</v>
          </cell>
          <cell r="F528" t="str">
            <v>Community Development Fund</v>
          </cell>
        </row>
        <row r="529">
          <cell r="B529" t="str">
            <v>KGZ-202-G01-H-00</v>
          </cell>
          <cell r="C529" t="str">
            <v>Financially Closed</v>
          </cell>
          <cell r="D529" t="str">
            <v>Eastern Europe and Central Asia</v>
          </cell>
          <cell r="E529" t="str">
            <v>KGZ</v>
          </cell>
          <cell r="F529" t="str">
            <v>National AIDS Center, Kyrgyzstan</v>
          </cell>
        </row>
        <row r="530">
          <cell r="B530" t="str">
            <v>KGZ-202-G02-T-00</v>
          </cell>
          <cell r="C530" t="str">
            <v>Financially Closed</v>
          </cell>
          <cell r="D530" t="str">
            <v>Eastern Europe and Central Asia</v>
          </cell>
          <cell r="E530" t="str">
            <v>KGZ</v>
          </cell>
          <cell r="F530" t="str">
            <v>National Center of Phtisiology</v>
          </cell>
        </row>
        <row r="531">
          <cell r="B531" t="str">
            <v>KGZ-506-G03-M</v>
          </cell>
          <cell r="C531" t="str">
            <v>Administratively Closed</v>
          </cell>
          <cell r="D531" t="str">
            <v>Eastern Europe and Central Asia</v>
          </cell>
          <cell r="E531" t="str">
            <v>KGZ</v>
          </cell>
          <cell r="F531" t="str">
            <v>State Sanitary Epidemiological Department</v>
          </cell>
        </row>
        <row r="532">
          <cell r="B532" t="str">
            <v>KGZ-607-G04-T</v>
          </cell>
          <cell r="C532" t="str">
            <v>Financially Closed</v>
          </cell>
          <cell r="D532" t="str">
            <v>Eastern Europe and Central Asia</v>
          </cell>
          <cell r="E532" t="str">
            <v>KGZ</v>
          </cell>
          <cell r="F532" t="str">
            <v>National Center of Phtisiology</v>
          </cell>
        </row>
        <row r="533">
          <cell r="B533" t="str">
            <v>KGZ-708-G05-H</v>
          </cell>
          <cell r="C533" t="str">
            <v>Administratively Closed</v>
          </cell>
          <cell r="D533" t="str">
            <v>Eastern Europe and Central Asia</v>
          </cell>
          <cell r="E533" t="str">
            <v>KGZ</v>
          </cell>
          <cell r="F533" t="str">
            <v>National AIDS Center, Kyrgyzstan</v>
          </cell>
        </row>
        <row r="534">
          <cell r="B534" t="str">
            <v>KGZ-809-G06-M</v>
          </cell>
          <cell r="C534" t="str">
            <v>Administratively Closed</v>
          </cell>
          <cell r="D534" t="str">
            <v>Eastern Europe and Central Asia</v>
          </cell>
          <cell r="E534" t="str">
            <v>KGZ</v>
          </cell>
          <cell r="F534" t="str">
            <v>State Sanitary Epidemiological Department</v>
          </cell>
        </row>
        <row r="535">
          <cell r="B535" t="str">
            <v>KGZ-811-G09-M</v>
          </cell>
          <cell r="C535" t="str">
            <v>Active</v>
          </cell>
          <cell r="D535" t="str">
            <v>Eastern Europe and Central Asia</v>
          </cell>
          <cell r="E535" t="str">
            <v>KGZ</v>
          </cell>
          <cell r="F535" t="str">
            <v>United Nations Development Programme, Kyrgyzstan</v>
          </cell>
        </row>
        <row r="536">
          <cell r="B536" t="str">
            <v>KGZ-910-G07-T</v>
          </cell>
          <cell r="C536" t="str">
            <v>Active</v>
          </cell>
          <cell r="D536" t="str">
            <v>Eastern Europe and Central Asia</v>
          </cell>
          <cell r="E536" t="str">
            <v>KGZ</v>
          </cell>
          <cell r="F536" t="str">
            <v>Project HOPE, Kyrgyzstan</v>
          </cell>
        </row>
        <row r="537">
          <cell r="B537" t="str">
            <v>KGZ-H-UNDP</v>
          </cell>
          <cell r="C537" t="str">
            <v>Active</v>
          </cell>
          <cell r="D537" t="str">
            <v>Eastern Europe and Central Asia</v>
          </cell>
          <cell r="E537" t="str">
            <v>KGZ</v>
          </cell>
          <cell r="F537" t="str">
            <v>United Nations Development Programme, Kyrgyzstan</v>
          </cell>
        </row>
        <row r="538">
          <cell r="B538" t="str">
            <v>KGZ-S10-G08-T</v>
          </cell>
          <cell r="C538" t="str">
            <v>Active</v>
          </cell>
          <cell r="D538" t="str">
            <v>Eastern Europe and Central Asia</v>
          </cell>
          <cell r="E538" t="str">
            <v>KGZ</v>
          </cell>
          <cell r="F538" t="str">
            <v>United Nations Development Programme, Kyrgyzstan</v>
          </cell>
        </row>
        <row r="539">
          <cell r="B539" t="str">
            <v>LAO-102-G01-H-00</v>
          </cell>
          <cell r="C539" t="str">
            <v>Administratively Closed</v>
          </cell>
          <cell r="D539" t="str">
            <v>South East Asia</v>
          </cell>
          <cell r="E539" t="str">
            <v>LAO</v>
          </cell>
          <cell r="F539" t="str">
            <v>Ministry of Health of Lao</v>
          </cell>
        </row>
        <row r="540">
          <cell r="B540" t="str">
            <v>LAO-102-G02-M-00</v>
          </cell>
          <cell r="C540" t="str">
            <v>Administratively Closed</v>
          </cell>
          <cell r="D540" t="str">
            <v>South East Asia</v>
          </cell>
          <cell r="E540" t="str">
            <v>LAO</v>
          </cell>
          <cell r="F540" t="str">
            <v>Ministry of Health of Lao</v>
          </cell>
        </row>
        <row r="541">
          <cell r="B541" t="str">
            <v>LAO-202-G03-T-00</v>
          </cell>
          <cell r="C541" t="str">
            <v>Administratively Closed</v>
          </cell>
          <cell r="D541" t="str">
            <v>South East Asia</v>
          </cell>
          <cell r="E541" t="str">
            <v>LAO</v>
          </cell>
          <cell r="F541" t="str">
            <v>Ministry of Health of Lao</v>
          </cell>
        </row>
        <row r="542">
          <cell r="B542" t="str">
            <v>LAO-405-G04-H</v>
          </cell>
          <cell r="C542" t="str">
            <v>Administratively Closed</v>
          </cell>
          <cell r="D542" t="str">
            <v>South East Asia</v>
          </cell>
          <cell r="E542" t="str">
            <v>LAO</v>
          </cell>
          <cell r="F542" t="str">
            <v>Ministry of Health of Lao</v>
          </cell>
        </row>
        <row r="543">
          <cell r="B543" t="str">
            <v>LAO-405-G05-M</v>
          </cell>
          <cell r="C543" t="str">
            <v>Financial Closure</v>
          </cell>
          <cell r="D543" t="str">
            <v>South East Asia</v>
          </cell>
          <cell r="E543" t="str">
            <v>LAO</v>
          </cell>
          <cell r="F543" t="str">
            <v>Ministry of Health of Lao</v>
          </cell>
        </row>
        <row r="544">
          <cell r="B544" t="str">
            <v>LAO-405-G06-T</v>
          </cell>
          <cell r="C544" t="str">
            <v>Administratively Closed</v>
          </cell>
          <cell r="D544" t="str">
            <v>South East Asia</v>
          </cell>
          <cell r="E544" t="str">
            <v>LAO</v>
          </cell>
          <cell r="F544" t="str">
            <v>Ministry of Health of Lao</v>
          </cell>
        </row>
        <row r="545">
          <cell r="B545" t="str">
            <v>LAO-607-G07-M</v>
          </cell>
          <cell r="C545" t="str">
            <v>Administratively Closed</v>
          </cell>
          <cell r="D545" t="str">
            <v>South East Asia</v>
          </cell>
          <cell r="E545" t="str">
            <v>LAO</v>
          </cell>
          <cell r="F545" t="str">
            <v>Ministry of Health of Lao</v>
          </cell>
        </row>
        <row r="546">
          <cell r="B546" t="str">
            <v>LAO-607-G08-H</v>
          </cell>
          <cell r="C546" t="str">
            <v>Administratively Closed</v>
          </cell>
          <cell r="D546" t="str">
            <v>South East Asia</v>
          </cell>
          <cell r="E546" t="str">
            <v>LAO</v>
          </cell>
          <cell r="F546" t="str">
            <v>Ministry of Health of Lao</v>
          </cell>
        </row>
        <row r="547">
          <cell r="B547" t="str">
            <v>LAO-708-G09-M</v>
          </cell>
          <cell r="C547" t="str">
            <v>Active</v>
          </cell>
          <cell r="D547" t="str">
            <v>South East Asia</v>
          </cell>
          <cell r="E547" t="str">
            <v>LAO</v>
          </cell>
          <cell r="F547" t="str">
            <v>Ministry of Health of Lao</v>
          </cell>
        </row>
        <row r="548">
          <cell r="B548" t="str">
            <v>LAO-708-G10-T</v>
          </cell>
          <cell r="C548" t="str">
            <v>Administratively Closed</v>
          </cell>
          <cell r="D548" t="str">
            <v>South East Asia</v>
          </cell>
          <cell r="E548" t="str">
            <v>LAO</v>
          </cell>
          <cell r="F548" t="str">
            <v>Ministry of Health of Lao</v>
          </cell>
        </row>
        <row r="549">
          <cell r="B549" t="str">
            <v>LAO-809-G11-H</v>
          </cell>
          <cell r="C549" t="str">
            <v>Administratively Closed</v>
          </cell>
          <cell r="D549" t="str">
            <v>South East Asia</v>
          </cell>
          <cell r="E549" t="str">
            <v>LAO</v>
          </cell>
          <cell r="F549" t="str">
            <v>Ministry of Health of Lao</v>
          </cell>
        </row>
        <row r="550">
          <cell r="B550" t="str">
            <v>LAO-H-GFMOH</v>
          </cell>
          <cell r="C550" t="str">
            <v>Active</v>
          </cell>
          <cell r="D550" t="str">
            <v>South East Asia</v>
          </cell>
          <cell r="E550" t="str">
            <v>LAO</v>
          </cell>
          <cell r="F550" t="str">
            <v>Ministry of Health of Lao</v>
          </cell>
        </row>
        <row r="551">
          <cell r="B551" t="str">
            <v>LAO-T-GFMOH</v>
          </cell>
          <cell r="C551" t="str">
            <v>Active</v>
          </cell>
          <cell r="D551" t="str">
            <v>South East Asia</v>
          </cell>
          <cell r="E551" t="str">
            <v>LAO</v>
          </cell>
          <cell r="F551" t="str">
            <v>Ministry of Health of Lao</v>
          </cell>
        </row>
        <row r="552">
          <cell r="B552" t="str">
            <v>LSO-202-G01-H-00</v>
          </cell>
          <cell r="C552" t="str">
            <v>Administratively Closed</v>
          </cell>
          <cell r="D552" t="str">
            <v>Southern and Eastern Africa</v>
          </cell>
          <cell r="E552" t="str">
            <v>LSO</v>
          </cell>
          <cell r="F552" t="str">
            <v>Ministry of Finance, Lesotho</v>
          </cell>
        </row>
        <row r="553">
          <cell r="B553" t="str">
            <v>LSO-202-G02-T-00</v>
          </cell>
          <cell r="C553" t="str">
            <v>Administratively Closed</v>
          </cell>
          <cell r="D553" t="str">
            <v>Southern and Eastern Africa</v>
          </cell>
          <cell r="E553" t="str">
            <v>LSO</v>
          </cell>
          <cell r="F553" t="str">
            <v>Ministry of Finance, Lesotho</v>
          </cell>
        </row>
        <row r="554">
          <cell r="B554" t="str">
            <v>LSO-506-G03-H</v>
          </cell>
          <cell r="C554" t="str">
            <v>Administratively Closed</v>
          </cell>
          <cell r="D554" t="str">
            <v>Southern and Eastern Africa</v>
          </cell>
          <cell r="E554" t="str">
            <v>LSO</v>
          </cell>
          <cell r="F554" t="str">
            <v>Ministry of Finance, Lesotho</v>
          </cell>
        </row>
        <row r="555">
          <cell r="B555" t="str">
            <v>LSO-607-G04-T</v>
          </cell>
          <cell r="C555" t="str">
            <v>Administratively Closed</v>
          </cell>
          <cell r="D555" t="str">
            <v>Southern and Eastern Africa</v>
          </cell>
          <cell r="E555" t="str">
            <v>LSO</v>
          </cell>
          <cell r="F555" t="str">
            <v>Ministry of Finance, Lesotho</v>
          </cell>
        </row>
        <row r="556">
          <cell r="B556" t="str">
            <v>LSO-708-G05-H</v>
          </cell>
          <cell r="C556" t="str">
            <v>Administratively Closed</v>
          </cell>
          <cell r="D556" t="str">
            <v>Southern and Eastern Africa</v>
          </cell>
          <cell r="E556" t="str">
            <v>LSO</v>
          </cell>
          <cell r="F556" t="str">
            <v>Ministry of Finance, Lesotho</v>
          </cell>
        </row>
        <row r="557">
          <cell r="B557" t="str">
            <v>LSO-809-G06-H</v>
          </cell>
          <cell r="C557" t="str">
            <v>Active</v>
          </cell>
          <cell r="D557" t="str">
            <v>Southern and Eastern Africa</v>
          </cell>
          <cell r="E557" t="str">
            <v>LSO</v>
          </cell>
          <cell r="F557" t="str">
            <v>Ministry of Finance, Lesotho</v>
          </cell>
        </row>
        <row r="558">
          <cell r="B558" t="str">
            <v>LSO-809-G07-H</v>
          </cell>
          <cell r="C558" t="str">
            <v>Financial Closure</v>
          </cell>
          <cell r="D558" t="str">
            <v>Southern and Eastern Africa</v>
          </cell>
          <cell r="E558" t="str">
            <v>LSO</v>
          </cell>
          <cell r="F558" t="str">
            <v>Lesotho Council of Non-Governmental Organizations</v>
          </cell>
        </row>
        <row r="559">
          <cell r="B559" t="str">
            <v>LSO-810-G08-T</v>
          </cell>
          <cell r="C559" t="str">
            <v>Active</v>
          </cell>
          <cell r="D559" t="str">
            <v>Southern and Eastern Africa</v>
          </cell>
          <cell r="E559" t="str">
            <v>LSO</v>
          </cell>
          <cell r="F559" t="str">
            <v>Ministry of Finance, Lesotho</v>
          </cell>
        </row>
        <row r="560">
          <cell r="B560" t="str">
            <v>LSO-813-G09-H</v>
          </cell>
          <cell r="C560" t="str">
            <v>Active</v>
          </cell>
          <cell r="D560" t="str">
            <v>Southern and Eastern Africa</v>
          </cell>
          <cell r="E560" t="str">
            <v>LSO</v>
          </cell>
          <cell r="F560" t="str">
            <v>Ministry of Finance, Lesotho</v>
          </cell>
        </row>
        <row r="561">
          <cell r="B561" t="str">
            <v>LSO-910-G09-H</v>
          </cell>
          <cell r="C561" t="str">
            <v>Administratively Closed</v>
          </cell>
          <cell r="D561" t="str">
            <v>Southern and Eastern Africa</v>
          </cell>
          <cell r="E561" t="str">
            <v>LSO</v>
          </cell>
          <cell r="F561" t="str">
            <v>Ministry of Finance, Lesotho</v>
          </cell>
        </row>
        <row r="562">
          <cell r="B562" t="str">
            <v>LSO-H-MoFDP</v>
          </cell>
          <cell r="C562" t="str">
            <v>Active</v>
          </cell>
          <cell r="D562" t="str">
            <v>Southern and Eastern Africa</v>
          </cell>
          <cell r="E562" t="str">
            <v>LSO</v>
          </cell>
          <cell r="F562" t="str">
            <v>Ministry of Finance, Lesotho</v>
          </cell>
        </row>
        <row r="563">
          <cell r="B563" t="str">
            <v>LSO-H-PACT</v>
          </cell>
          <cell r="C563" t="str">
            <v>N.D.</v>
          </cell>
          <cell r="D563" t="str">
            <v>Southern and Eastern Africa</v>
          </cell>
          <cell r="E563" t="str">
            <v>LSO</v>
          </cell>
          <cell r="F563" t="str">
            <v>Not Defined</v>
          </cell>
        </row>
        <row r="564">
          <cell r="B564" t="str">
            <v>LBR-202-G01-H-00</v>
          </cell>
          <cell r="C564" t="str">
            <v>Administratively Closed</v>
          </cell>
          <cell r="D564" t="str">
            <v>Central Africa</v>
          </cell>
          <cell r="E564" t="str">
            <v>LBR</v>
          </cell>
          <cell r="F564" t="str">
            <v>United Nations Development Programme, Liberia</v>
          </cell>
        </row>
        <row r="565">
          <cell r="B565" t="str">
            <v>LBR-202-G02-T-00</v>
          </cell>
          <cell r="C565" t="str">
            <v>Administratively Closed</v>
          </cell>
          <cell r="D565" t="str">
            <v>Central Africa</v>
          </cell>
          <cell r="E565" t="str">
            <v>LBR</v>
          </cell>
          <cell r="F565" t="str">
            <v>United Nations Development Programme, Liberia</v>
          </cell>
        </row>
        <row r="566">
          <cell r="B566" t="str">
            <v>LBR-304-G03-M</v>
          </cell>
          <cell r="C566" t="str">
            <v>Administratively Closed</v>
          </cell>
          <cell r="D566" t="str">
            <v>Central Africa</v>
          </cell>
          <cell r="E566" t="str">
            <v>LBR</v>
          </cell>
          <cell r="F566" t="str">
            <v>United Nations Development Programme, Liberia</v>
          </cell>
        </row>
        <row r="567">
          <cell r="B567" t="str">
            <v>LBR-607-G04-H</v>
          </cell>
          <cell r="C567" t="str">
            <v>Administratively Closed</v>
          </cell>
          <cell r="D567" t="str">
            <v>Central Africa</v>
          </cell>
          <cell r="E567" t="str">
            <v>LBR</v>
          </cell>
          <cell r="F567" t="str">
            <v>United Nations Development Programme, Liberia</v>
          </cell>
        </row>
        <row r="568">
          <cell r="B568" t="str">
            <v>LBR-708-G05-M</v>
          </cell>
          <cell r="C568" t="str">
            <v>Administratively Closed</v>
          </cell>
          <cell r="D568" t="str">
            <v>Central Africa</v>
          </cell>
          <cell r="E568" t="str">
            <v>LBR</v>
          </cell>
          <cell r="F568" t="str">
            <v>United Nations Development Programme, Liberia</v>
          </cell>
        </row>
        <row r="569">
          <cell r="B569" t="str">
            <v>LBR-708-G06-T</v>
          </cell>
          <cell r="C569" t="str">
            <v>Administratively Closed</v>
          </cell>
          <cell r="D569" t="str">
            <v>Central Africa</v>
          </cell>
          <cell r="E569" t="str">
            <v>LBR</v>
          </cell>
          <cell r="F569" t="str">
            <v>United Nations Development Programme, Liberia</v>
          </cell>
        </row>
        <row r="570">
          <cell r="B570" t="str">
            <v>LBR-810-G07-H</v>
          </cell>
          <cell r="C570" t="str">
            <v>Active</v>
          </cell>
          <cell r="D570" t="str">
            <v>Central Africa</v>
          </cell>
          <cell r="E570" t="str">
            <v>LBR</v>
          </cell>
          <cell r="F570" t="str">
            <v>Ministry of Health and Social Welfare of Liberia</v>
          </cell>
        </row>
        <row r="571">
          <cell r="B571" t="str">
            <v>LBR-M-MOH</v>
          </cell>
          <cell r="C571" t="str">
            <v>Active</v>
          </cell>
          <cell r="D571" t="str">
            <v>Central Africa</v>
          </cell>
          <cell r="E571" t="str">
            <v>LBR</v>
          </cell>
          <cell r="F571" t="str">
            <v>Ministry of Health and Social Welfare of Liberia</v>
          </cell>
        </row>
        <row r="572">
          <cell r="B572" t="str">
            <v>LBR-M-PII</v>
          </cell>
          <cell r="C572" t="str">
            <v>Active</v>
          </cell>
          <cell r="D572" t="str">
            <v>Central Africa</v>
          </cell>
          <cell r="E572" t="str">
            <v>LBR</v>
          </cell>
          <cell r="F572" t="str">
            <v>Plan International Liberia</v>
          </cell>
        </row>
        <row r="573">
          <cell r="B573" t="str">
            <v>LBR-T-MOH</v>
          </cell>
          <cell r="C573" t="str">
            <v>Active</v>
          </cell>
          <cell r="D573" t="str">
            <v>Central Africa</v>
          </cell>
          <cell r="E573" t="str">
            <v>LBR</v>
          </cell>
          <cell r="F573" t="str">
            <v>Ministry of Health and Social Welfare of Liberia</v>
          </cell>
        </row>
        <row r="574">
          <cell r="B574" t="str">
            <v>WRL-102-G01-H-00</v>
          </cell>
          <cell r="C574" t="str">
            <v>Administratively Closed</v>
          </cell>
          <cell r="D574" t="str">
            <v>Eastern Europe and Central Asia</v>
          </cell>
          <cell r="E574" t="str">
            <v>QMA</v>
          </cell>
          <cell r="F574" t="str">
            <v>Lutheran World Federation</v>
          </cell>
        </row>
        <row r="575">
          <cell r="B575" t="str">
            <v>MKD-011-G04-T</v>
          </cell>
          <cell r="C575" t="str">
            <v>Active</v>
          </cell>
          <cell r="D575" t="str">
            <v>Eastern Europe and Central Asia</v>
          </cell>
          <cell r="E575" t="str">
            <v>MKD</v>
          </cell>
          <cell r="F575" t="str">
            <v>Ministry of Health of FYR of Macedonia</v>
          </cell>
        </row>
        <row r="576">
          <cell r="B576" t="str">
            <v>MKD-304-G01-H</v>
          </cell>
          <cell r="C576" t="str">
            <v>Administratively Closed</v>
          </cell>
          <cell r="D576" t="str">
            <v>Eastern Europe and Central Asia</v>
          </cell>
          <cell r="E576" t="str">
            <v>MKD</v>
          </cell>
          <cell r="F576" t="str">
            <v>Ministry of Health of FYR of Macedonia</v>
          </cell>
        </row>
        <row r="577">
          <cell r="B577" t="str">
            <v>MKD-506-G02-T</v>
          </cell>
          <cell r="C577" t="str">
            <v>Administratively Closed</v>
          </cell>
          <cell r="D577" t="str">
            <v>Eastern Europe and Central Asia</v>
          </cell>
          <cell r="E577" t="str">
            <v>MKD</v>
          </cell>
          <cell r="F577" t="str">
            <v>Ministry of Health of FYR of Macedonia</v>
          </cell>
        </row>
        <row r="578">
          <cell r="B578" t="str">
            <v>MKD-708-G03-H</v>
          </cell>
          <cell r="C578" t="str">
            <v>Administratively Closed</v>
          </cell>
          <cell r="D578" t="str">
            <v>Eastern Europe and Central Asia</v>
          </cell>
          <cell r="E578" t="str">
            <v>MKD</v>
          </cell>
          <cell r="F578" t="str">
            <v>Ministry of Health of FYR of Macedonia</v>
          </cell>
        </row>
        <row r="579">
          <cell r="B579" t="str">
            <v>MKD-H-MOH</v>
          </cell>
          <cell r="C579" t="str">
            <v>Active</v>
          </cell>
          <cell r="D579" t="str">
            <v>Eastern Europe and Central Asia</v>
          </cell>
          <cell r="E579" t="str">
            <v>MKD</v>
          </cell>
          <cell r="F579" t="str">
            <v>Ministry of Health of FYR of Macedonia</v>
          </cell>
        </row>
        <row r="580">
          <cell r="B580" t="str">
            <v>MDG-102-G01-M-00</v>
          </cell>
          <cell r="C580" t="str">
            <v>Administratively Closed</v>
          </cell>
          <cell r="D580" t="str">
            <v>Southern and Eastern Africa</v>
          </cell>
          <cell r="E580" t="str">
            <v>MDG</v>
          </cell>
          <cell r="F580" t="str">
            <v>Population Services International, USA</v>
          </cell>
        </row>
        <row r="581">
          <cell r="B581" t="str">
            <v>MDG-202-G02-H-00</v>
          </cell>
          <cell r="C581" t="str">
            <v>Administratively Closed</v>
          </cell>
          <cell r="D581" t="str">
            <v>Southern and Eastern Africa</v>
          </cell>
          <cell r="E581" t="str">
            <v>MDG</v>
          </cell>
          <cell r="F581" t="str">
            <v>Catholic Relief Services - Madagascar</v>
          </cell>
        </row>
        <row r="582">
          <cell r="B582" t="str">
            <v>MDG-202-G03-H-00</v>
          </cell>
          <cell r="C582" t="str">
            <v>Administratively Closed</v>
          </cell>
          <cell r="D582" t="str">
            <v>Southern and Eastern Africa</v>
          </cell>
          <cell r="E582" t="str">
            <v>MDG</v>
          </cell>
          <cell r="F582" t="str">
            <v>Population Services International, USA</v>
          </cell>
        </row>
        <row r="583">
          <cell r="B583" t="str">
            <v>MDG-304-G04-H</v>
          </cell>
          <cell r="C583" t="str">
            <v>Financial Closure</v>
          </cell>
          <cell r="D583" t="str">
            <v>Southern and Eastern Africa</v>
          </cell>
          <cell r="E583" t="str">
            <v>MDG</v>
          </cell>
          <cell r="F583" t="str">
            <v>Sécrétariat Exécutif du Comité National de Lutte Contre le VIH/SIDA</v>
          </cell>
        </row>
        <row r="584">
          <cell r="B584" t="str">
            <v>MDG-304-G05-M</v>
          </cell>
          <cell r="C584" t="str">
            <v>Financial Closure</v>
          </cell>
          <cell r="D584" t="str">
            <v>Southern and Eastern Africa</v>
          </cell>
          <cell r="E584" t="str">
            <v>MDG</v>
          </cell>
          <cell r="F584" t="str">
            <v>Unité de Gestion des Projets d'Appui au Secteur Santé</v>
          </cell>
        </row>
        <row r="585">
          <cell r="B585" t="str">
            <v>MDG-404-G08-T</v>
          </cell>
          <cell r="C585" t="str">
            <v>Financial Closure</v>
          </cell>
          <cell r="D585" t="str">
            <v>Southern and Eastern Africa</v>
          </cell>
          <cell r="E585" t="str">
            <v>MDG</v>
          </cell>
          <cell r="F585" t="str">
            <v>Sécrétariat Exécutif du Comité National de Lutte Contre le VIH/SIDA</v>
          </cell>
        </row>
        <row r="586">
          <cell r="B586" t="str">
            <v>MDG-405-G06-M</v>
          </cell>
          <cell r="C586" t="str">
            <v>Administratively Closed</v>
          </cell>
          <cell r="D586" t="str">
            <v>Southern and Eastern Africa</v>
          </cell>
          <cell r="E586" t="str">
            <v>MDG</v>
          </cell>
          <cell r="F586" t="str">
            <v>Unité de Gestion des Projets d'Appui au Secteur Santé</v>
          </cell>
        </row>
        <row r="587">
          <cell r="B587" t="str">
            <v>MDG-405-G07-M</v>
          </cell>
          <cell r="C587" t="str">
            <v>Financial Closure</v>
          </cell>
          <cell r="D587" t="str">
            <v>Southern and Eastern Africa</v>
          </cell>
          <cell r="E587" t="str">
            <v>MDG</v>
          </cell>
          <cell r="F587" t="str">
            <v>Population Services International, USA</v>
          </cell>
        </row>
        <row r="588">
          <cell r="B588" t="str">
            <v>MDG-708-G09-M</v>
          </cell>
          <cell r="C588" t="str">
            <v>Financial Closure</v>
          </cell>
          <cell r="D588" t="str">
            <v>Southern and Eastern Africa</v>
          </cell>
          <cell r="E588" t="str">
            <v>MDG</v>
          </cell>
          <cell r="F588" t="str">
            <v>Unité de Gestion des Projets d'Appui au Secteur Santé</v>
          </cell>
        </row>
        <row r="589">
          <cell r="B589" t="str">
            <v>MDG-708-G10-M</v>
          </cell>
          <cell r="C589" t="str">
            <v>Financial Closure</v>
          </cell>
          <cell r="D589" t="str">
            <v>Southern and Eastern Africa</v>
          </cell>
          <cell r="E589" t="str">
            <v>MDG</v>
          </cell>
          <cell r="F589" t="str">
            <v>Population Services International, USA</v>
          </cell>
        </row>
        <row r="590">
          <cell r="B590" t="str">
            <v>MDG-809-G11-H</v>
          </cell>
          <cell r="C590" t="str">
            <v>Active</v>
          </cell>
          <cell r="D590" t="str">
            <v>Southern and Eastern Africa</v>
          </cell>
          <cell r="E590" t="str">
            <v>MDG</v>
          </cell>
          <cell r="F590" t="str">
            <v>Sécrétariat Exécutif du Comité National de Lutte Contre le VIH/SIDA</v>
          </cell>
        </row>
        <row r="591">
          <cell r="B591" t="str">
            <v>MDG-809-G12-H</v>
          </cell>
          <cell r="C591" t="str">
            <v>Active</v>
          </cell>
          <cell r="D591" t="str">
            <v>Southern and Eastern Africa</v>
          </cell>
          <cell r="E591" t="str">
            <v>MDG</v>
          </cell>
          <cell r="F591" t="str">
            <v>Population Services International, USA</v>
          </cell>
        </row>
        <row r="592">
          <cell r="B592" t="str">
            <v>MDG-810-G13-T</v>
          </cell>
          <cell r="C592" t="str">
            <v>Active</v>
          </cell>
          <cell r="D592" t="str">
            <v>Southern and Eastern Africa</v>
          </cell>
          <cell r="E592" t="str">
            <v>MDG</v>
          </cell>
          <cell r="F592" t="str">
            <v>Office National de Nutrition</v>
          </cell>
        </row>
        <row r="593">
          <cell r="B593" t="str">
            <v>MDG-810-G14-T</v>
          </cell>
          <cell r="C593" t="str">
            <v>Active</v>
          </cell>
          <cell r="D593" t="str">
            <v>Southern and Eastern Africa</v>
          </cell>
          <cell r="E593" t="str">
            <v>MDG</v>
          </cell>
          <cell r="F593" t="str">
            <v>Pact Madagascar</v>
          </cell>
        </row>
        <row r="594">
          <cell r="B594" t="str">
            <v>MDG-910-G15-M</v>
          </cell>
          <cell r="C594" t="str">
            <v>Financial Closure</v>
          </cell>
          <cell r="D594" t="str">
            <v>Southern and Eastern Africa</v>
          </cell>
          <cell r="E594" t="str">
            <v>MDG</v>
          </cell>
          <cell r="F594" t="str">
            <v>Centrale d'Achat des Medicaments Essentiels et de Materiel Medical</v>
          </cell>
        </row>
        <row r="595">
          <cell r="B595" t="str">
            <v>MDG-910-G16-M</v>
          </cell>
          <cell r="C595" t="str">
            <v>Financial Closure</v>
          </cell>
          <cell r="D595" t="str">
            <v>Southern and Eastern Africa</v>
          </cell>
          <cell r="E595" t="str">
            <v>MDG</v>
          </cell>
          <cell r="F595" t="str">
            <v>Centrale d'Achat des Medicaments Essentiels et de Materiel Medical</v>
          </cell>
        </row>
        <row r="596">
          <cell r="B596" t="str">
            <v>MDG-910-G17-M</v>
          </cell>
          <cell r="C596" t="str">
            <v>Financial Closure</v>
          </cell>
          <cell r="D596" t="str">
            <v>Southern and Eastern Africa</v>
          </cell>
          <cell r="E596" t="str">
            <v>MDG</v>
          </cell>
          <cell r="F596" t="str">
            <v>Unité de Gestion des Projets d'Appui au Secteur Santé</v>
          </cell>
        </row>
        <row r="597">
          <cell r="B597" t="str">
            <v>MDG-910-G18-M</v>
          </cell>
          <cell r="C597" t="str">
            <v>Financial Closure</v>
          </cell>
          <cell r="D597" t="str">
            <v>Southern and Eastern Africa</v>
          </cell>
          <cell r="E597" t="str">
            <v>MDG</v>
          </cell>
          <cell r="F597" t="str">
            <v>Association Intercooperation Madagascar (AIM)</v>
          </cell>
        </row>
        <row r="598">
          <cell r="B598" t="str">
            <v>MDG-910-G19-M</v>
          </cell>
          <cell r="C598" t="str">
            <v>Active</v>
          </cell>
          <cell r="D598" t="str">
            <v>Southern and Eastern Africa</v>
          </cell>
          <cell r="E598" t="str">
            <v>MDG</v>
          </cell>
          <cell r="F598" t="str">
            <v>Pact Madagascar</v>
          </cell>
        </row>
        <row r="599">
          <cell r="B599" t="str">
            <v>MDG-M-PSI</v>
          </cell>
          <cell r="C599" t="str">
            <v>Active</v>
          </cell>
          <cell r="D599" t="str">
            <v>Southern and Eastern Africa</v>
          </cell>
          <cell r="E599" t="str">
            <v>MDG</v>
          </cell>
          <cell r="F599" t="str">
            <v>Population Services International, Madagascar</v>
          </cell>
        </row>
        <row r="600">
          <cell r="B600" t="str">
            <v>MLW-102-G01-H-00</v>
          </cell>
          <cell r="C600" t="str">
            <v>Financial Closure</v>
          </cell>
          <cell r="D600" t="str">
            <v>Southern and Eastern Africa</v>
          </cell>
          <cell r="E600" t="str">
            <v>MWI</v>
          </cell>
          <cell r="F600" t="str">
            <v>National AIDS Commission, Malawi</v>
          </cell>
        </row>
        <row r="601">
          <cell r="B601" t="str">
            <v>MLW-202-G02-M-00</v>
          </cell>
          <cell r="C601" t="str">
            <v>Administratively Closed</v>
          </cell>
          <cell r="D601" t="str">
            <v>Southern and Eastern Africa</v>
          </cell>
          <cell r="E601" t="str">
            <v>MWI</v>
          </cell>
          <cell r="F601" t="str">
            <v>Ministry of Health of Malawi</v>
          </cell>
        </row>
        <row r="602">
          <cell r="B602" t="str">
            <v>MLW-506-G03-H</v>
          </cell>
          <cell r="C602" t="str">
            <v>Financial Closure</v>
          </cell>
          <cell r="D602" t="str">
            <v>Southern and Eastern Africa</v>
          </cell>
          <cell r="E602" t="str">
            <v>MWI</v>
          </cell>
          <cell r="F602" t="str">
            <v>National AIDS Commission, Malawi</v>
          </cell>
        </row>
        <row r="603">
          <cell r="B603" t="str">
            <v>MLW-506-G04-S</v>
          </cell>
          <cell r="C603" t="str">
            <v>Administratively Closed</v>
          </cell>
          <cell r="D603" t="str">
            <v>Southern and Eastern Africa</v>
          </cell>
          <cell r="E603" t="str">
            <v>MWI</v>
          </cell>
          <cell r="F603" t="str">
            <v>Ministry of Health of Malawi</v>
          </cell>
        </row>
        <row r="604">
          <cell r="B604" t="str">
            <v>MLW-708-G05-M</v>
          </cell>
          <cell r="C604" t="str">
            <v>Financial Closure</v>
          </cell>
          <cell r="D604" t="str">
            <v>Southern and Eastern Africa</v>
          </cell>
          <cell r="E604" t="str">
            <v>MWI</v>
          </cell>
          <cell r="F604" t="str">
            <v>Ministry of Health of Malawi</v>
          </cell>
        </row>
        <row r="605">
          <cell r="B605" t="str">
            <v>MLW-708-G06-T</v>
          </cell>
          <cell r="C605" t="str">
            <v>Active</v>
          </cell>
          <cell r="D605" t="str">
            <v>Southern and Eastern Africa</v>
          </cell>
          <cell r="E605" t="str">
            <v>MWI</v>
          </cell>
          <cell r="F605" t="str">
            <v>Ministry of Health of Malawi</v>
          </cell>
        </row>
        <row r="606">
          <cell r="B606" t="str">
            <v>MLW-708-G07-H</v>
          </cell>
          <cell r="C606" t="str">
            <v>Administratively Closed</v>
          </cell>
          <cell r="D606" t="str">
            <v>Southern and Eastern Africa</v>
          </cell>
          <cell r="E606" t="str">
            <v>MWI</v>
          </cell>
          <cell r="F606" t="str">
            <v>National AIDS Commission, Malawi</v>
          </cell>
        </row>
        <row r="607">
          <cell r="B607" t="str">
            <v>MLW-911-G08-M</v>
          </cell>
          <cell r="C607" t="str">
            <v>Active</v>
          </cell>
          <cell r="D607" t="str">
            <v>Southern and Eastern Africa</v>
          </cell>
          <cell r="E607" t="str">
            <v>MWI</v>
          </cell>
          <cell r="F607" t="str">
            <v>Ministry of Health of Malawi</v>
          </cell>
        </row>
        <row r="608">
          <cell r="B608" t="str">
            <v>MLW-H-NAC</v>
          </cell>
          <cell r="C608" t="str">
            <v>Active</v>
          </cell>
          <cell r="D608" t="str">
            <v>Southern and Eastern Africa</v>
          </cell>
          <cell r="E608" t="str">
            <v>MWI</v>
          </cell>
          <cell r="F608" t="str">
            <v>National AIDS Commission, Malawi</v>
          </cell>
        </row>
        <row r="609">
          <cell r="B609" t="str">
            <v>MYS-H-MAC</v>
          </cell>
          <cell r="C609" t="str">
            <v>Active</v>
          </cell>
          <cell r="D609" t="str">
            <v>South East Asia</v>
          </cell>
          <cell r="E609" t="str">
            <v>MYS</v>
          </cell>
          <cell r="F609" t="str">
            <v>Malaysian AIDS Council</v>
          </cell>
        </row>
        <row r="610">
          <cell r="B610" t="str">
            <v>MDV-607-G01-H</v>
          </cell>
          <cell r="C610" t="str">
            <v>Administratively Closed</v>
          </cell>
          <cell r="D610" t="str">
            <v>South East Asia</v>
          </cell>
          <cell r="E610" t="str">
            <v>MDV</v>
          </cell>
          <cell r="F610" t="str">
            <v>United Nations Development Programme, Maldives</v>
          </cell>
        </row>
        <row r="611">
          <cell r="B611" t="str">
            <v>MAL-013-G10-T</v>
          </cell>
          <cell r="C611" t="str">
            <v>Active</v>
          </cell>
          <cell r="D611" t="str">
            <v>Western Africa</v>
          </cell>
          <cell r="E611" t="str">
            <v>MLI</v>
          </cell>
          <cell r="F611" t="str">
            <v>Catholic Relief Services USCCB - Mali</v>
          </cell>
        </row>
        <row r="612">
          <cell r="B612" t="str">
            <v>MAL-102-G01-M-00</v>
          </cell>
          <cell r="C612" t="str">
            <v>Administratively Closed</v>
          </cell>
          <cell r="D612" t="str">
            <v>Western Africa</v>
          </cell>
          <cell r="E612" t="str">
            <v>MLI</v>
          </cell>
          <cell r="F612" t="str">
            <v>Ministry of Health of Mali</v>
          </cell>
        </row>
        <row r="613">
          <cell r="B613" t="str">
            <v>MAL-405-G02-H</v>
          </cell>
          <cell r="C613" t="str">
            <v>Financial Closure</v>
          </cell>
          <cell r="D613" t="str">
            <v>Western Africa</v>
          </cell>
          <cell r="E613" t="str">
            <v>MLI</v>
          </cell>
          <cell r="F613" t="str">
            <v>National High Council for HIV/AIDS control of Mali</v>
          </cell>
        </row>
        <row r="614">
          <cell r="B614" t="str">
            <v>MAL-405-G03-T</v>
          </cell>
          <cell r="C614" t="str">
            <v>Financial Closure</v>
          </cell>
          <cell r="D614" t="str">
            <v>Western Africa</v>
          </cell>
          <cell r="E614" t="str">
            <v>MLI</v>
          </cell>
          <cell r="F614" t="str">
            <v>Ministry of Health of Mali</v>
          </cell>
        </row>
        <row r="615">
          <cell r="B615" t="str">
            <v>MAL-607-G04-M</v>
          </cell>
          <cell r="C615" t="str">
            <v>Financial Closure</v>
          </cell>
          <cell r="D615" t="str">
            <v>Western Africa</v>
          </cell>
          <cell r="E615" t="str">
            <v>MLI</v>
          </cell>
          <cell r="F615" t="str">
            <v>Ministry of Health of Mali</v>
          </cell>
        </row>
        <row r="616">
          <cell r="B616" t="str">
            <v>MAL-607-G05-M</v>
          </cell>
          <cell r="C616" t="str">
            <v>Financial Closure</v>
          </cell>
          <cell r="D616" t="str">
            <v>Western Africa</v>
          </cell>
          <cell r="E616" t="str">
            <v>MLI</v>
          </cell>
          <cell r="F616" t="str">
            <v>Groupe Pivot Santé Population</v>
          </cell>
        </row>
        <row r="617">
          <cell r="B617" t="str">
            <v>MAL-708-G06-T</v>
          </cell>
          <cell r="C617" t="str">
            <v>Financial Closure</v>
          </cell>
          <cell r="D617" t="str">
            <v>Western Africa</v>
          </cell>
          <cell r="E617" t="str">
            <v>MLI</v>
          </cell>
          <cell r="F617" t="str">
            <v>Ministry of Health of Mali</v>
          </cell>
        </row>
        <row r="618">
          <cell r="B618" t="str">
            <v>MAL-809-G07-H</v>
          </cell>
          <cell r="C618" t="str">
            <v>Financial Closure</v>
          </cell>
          <cell r="D618" t="str">
            <v>Western Africa</v>
          </cell>
          <cell r="E618" t="str">
            <v>MLI</v>
          </cell>
          <cell r="F618" t="str">
            <v>Groupe Pivot Santé Population</v>
          </cell>
        </row>
        <row r="619">
          <cell r="B619" t="str">
            <v>MAL-809-G08-H</v>
          </cell>
          <cell r="C619" t="str">
            <v>Financial Closure</v>
          </cell>
          <cell r="D619" t="str">
            <v>Western Africa</v>
          </cell>
          <cell r="E619" t="str">
            <v>MLI</v>
          </cell>
          <cell r="F619" t="str">
            <v>National High Council for HIV/AIDS control of Mali</v>
          </cell>
        </row>
        <row r="620">
          <cell r="B620" t="str">
            <v>MAL-812-G09-H</v>
          </cell>
          <cell r="C620" t="str">
            <v>Active</v>
          </cell>
          <cell r="D620" t="str">
            <v>Western Africa</v>
          </cell>
          <cell r="E620" t="str">
            <v>MLI</v>
          </cell>
          <cell r="F620" t="str">
            <v>United Nations Development Program, Mali</v>
          </cell>
        </row>
        <row r="621">
          <cell r="B621" t="str">
            <v>MAL-813-G11-H</v>
          </cell>
          <cell r="C621" t="str">
            <v>Active</v>
          </cell>
          <cell r="D621" t="str">
            <v>Western Africa</v>
          </cell>
          <cell r="E621" t="str">
            <v>MLI</v>
          </cell>
          <cell r="F621" t="str">
            <v>Plan International Mali</v>
          </cell>
        </row>
        <row r="622">
          <cell r="B622" t="str">
            <v>MAL-M-PSI</v>
          </cell>
          <cell r="C622" t="str">
            <v>Active</v>
          </cell>
          <cell r="D622" t="str">
            <v>Western Africa</v>
          </cell>
          <cell r="E622" t="str">
            <v>MLI</v>
          </cell>
          <cell r="F622" t="str">
            <v>Population Services International, USA</v>
          </cell>
        </row>
        <row r="623">
          <cell r="B623" t="str">
            <v>MRT-202-G01-T-00</v>
          </cell>
          <cell r="C623" t="str">
            <v>Financial Closure</v>
          </cell>
          <cell r="D623" t="str">
            <v>Middle East and North Africa</v>
          </cell>
          <cell r="E623" t="str">
            <v>MRT</v>
          </cell>
          <cell r="F623" t="str">
            <v>United Nations Development Programme, Mauritania</v>
          </cell>
        </row>
        <row r="624">
          <cell r="B624" t="str">
            <v>MRT-202-G02-M-00</v>
          </cell>
          <cell r="C624" t="str">
            <v>Financial Closure</v>
          </cell>
          <cell r="D624" t="str">
            <v>Middle East and North Africa</v>
          </cell>
          <cell r="E624" t="str">
            <v>MRT</v>
          </cell>
          <cell r="F624" t="str">
            <v>United Nations Development Programme, Mauritania</v>
          </cell>
        </row>
        <row r="625">
          <cell r="B625" t="str">
            <v>MRT-506-G03-H</v>
          </cell>
          <cell r="C625" t="str">
            <v>Active</v>
          </cell>
          <cell r="D625" t="str">
            <v>Middle East and North Africa</v>
          </cell>
          <cell r="E625" t="str">
            <v>MRT</v>
          </cell>
          <cell r="F625" t="str">
            <v>Comite National de Lutte contre le VIH/SIDA, Mauritania</v>
          </cell>
        </row>
        <row r="626">
          <cell r="B626" t="str">
            <v>MRT-607-G04-M</v>
          </cell>
          <cell r="C626" t="str">
            <v>Financial Closure</v>
          </cell>
          <cell r="D626" t="str">
            <v>Middle East and North Africa</v>
          </cell>
          <cell r="E626" t="str">
            <v>MRT</v>
          </cell>
          <cell r="F626" t="str">
            <v>United Nations Development Programme, Mauritania</v>
          </cell>
        </row>
        <row r="627">
          <cell r="B627" t="str">
            <v>MRT-607-G05-T</v>
          </cell>
          <cell r="C627" t="str">
            <v>Financial Closure</v>
          </cell>
          <cell r="D627" t="str">
            <v>Middle East and North Africa</v>
          </cell>
          <cell r="E627" t="str">
            <v>MRT</v>
          </cell>
          <cell r="F627" t="str">
            <v>United Nations Development Programme, Mauritania</v>
          </cell>
        </row>
        <row r="628">
          <cell r="B628" t="str">
            <v>MUS-809-G01-H</v>
          </cell>
          <cell r="C628" t="str">
            <v>Active</v>
          </cell>
          <cell r="D628" t="str">
            <v>Southern and Eastern Africa</v>
          </cell>
          <cell r="E628" t="str">
            <v>MUS</v>
          </cell>
          <cell r="F628" t="str">
            <v>National AIDS Secretariat, Mauritius</v>
          </cell>
        </row>
        <row r="629">
          <cell r="B629" t="str">
            <v>MUS-809-G02-H</v>
          </cell>
          <cell r="C629" t="str">
            <v>Administratively Closed</v>
          </cell>
          <cell r="D629" t="str">
            <v>Southern and Eastern Africa</v>
          </cell>
          <cell r="E629" t="str">
            <v>MUS</v>
          </cell>
          <cell r="F629" t="str">
            <v>Mauritius Family Planning and Welfare Association</v>
          </cell>
        </row>
        <row r="630">
          <cell r="B630" t="str">
            <v>MUS-812-G03-H</v>
          </cell>
          <cell r="C630" t="str">
            <v>Active</v>
          </cell>
          <cell r="D630" t="str">
            <v>Southern and Eastern Africa</v>
          </cell>
          <cell r="E630" t="str">
            <v>MUS</v>
          </cell>
          <cell r="F630" t="str">
            <v>Prévention Information Lutte contre le Sida</v>
          </cell>
        </row>
        <row r="631">
          <cell r="B631" t="str">
            <v>MEX-910-G01-H</v>
          </cell>
          <cell r="C631" t="str">
            <v>Administratively Closed</v>
          </cell>
          <cell r="D631" t="str">
            <v>Latin America and Caribbean</v>
          </cell>
          <cell r="E631" t="str">
            <v>MEX</v>
          </cell>
          <cell r="F631" t="str">
            <v>Fundacion Mexicana para la salud A.C.</v>
          </cell>
        </row>
        <row r="632">
          <cell r="B632" t="str">
            <v>MDA-H-PAS</v>
          </cell>
          <cell r="C632" t="str">
            <v>Active</v>
          </cell>
          <cell r="D632" t="str">
            <v>Eastern Europe and Central Asia</v>
          </cell>
          <cell r="E632" t="str">
            <v>MDA</v>
          </cell>
          <cell r="F632" t="str">
            <v>Center for Health Policies and Studies (PAS Center)</v>
          </cell>
        </row>
        <row r="633">
          <cell r="B633" t="str">
            <v>MDA-H-PCIMU</v>
          </cell>
          <cell r="C633" t="str">
            <v>Active</v>
          </cell>
          <cell r="D633" t="str">
            <v>Eastern Europe and Central Asia</v>
          </cell>
          <cell r="E633" t="str">
            <v>MDA</v>
          </cell>
          <cell r="F633" t="str">
            <v>Health System Restructuring Project - Coordination, Implementation, Monitoring Unit</v>
          </cell>
        </row>
        <row r="634">
          <cell r="B634" t="str">
            <v>MDA-T-PAS</v>
          </cell>
          <cell r="C634" t="str">
            <v>N.D.</v>
          </cell>
          <cell r="D634" t="str">
            <v>Eastern Europe and Central Asia</v>
          </cell>
          <cell r="E634" t="str">
            <v>MDA</v>
          </cell>
          <cell r="F634" t="str">
            <v>Not Defined</v>
          </cell>
        </row>
        <row r="635">
          <cell r="B635" t="str">
            <v>MDA-T-PCIMU</v>
          </cell>
          <cell r="C635" t="str">
            <v>Active</v>
          </cell>
          <cell r="D635" t="str">
            <v>Eastern Europe and Central Asia</v>
          </cell>
          <cell r="E635" t="str">
            <v>MDA</v>
          </cell>
          <cell r="F635" t="str">
            <v>Health System Restructuring Project - Coordination, Implementation, Monitoring Unit</v>
          </cell>
        </row>
        <row r="636">
          <cell r="B636" t="str">
            <v>MOL-102-G01-C-00</v>
          </cell>
          <cell r="C636" t="str">
            <v>Administratively Closed</v>
          </cell>
          <cell r="D636" t="str">
            <v>Eastern Europe and Central Asia</v>
          </cell>
          <cell r="E636" t="str">
            <v>MDA</v>
          </cell>
          <cell r="F636" t="str">
            <v>Health System Restructuring Project - Coordination, Implementation, Monitoring Unit</v>
          </cell>
        </row>
        <row r="637">
          <cell r="B637" t="str">
            <v>MOL-607-G02-T</v>
          </cell>
          <cell r="C637" t="str">
            <v>Administratively Closed</v>
          </cell>
          <cell r="D637" t="str">
            <v>Eastern Europe and Central Asia</v>
          </cell>
          <cell r="E637" t="str">
            <v>MDA</v>
          </cell>
          <cell r="F637" t="str">
            <v>Health System Restructuring Project - Coordination, Implementation, Monitoring Unit</v>
          </cell>
        </row>
        <row r="638">
          <cell r="B638" t="str">
            <v>MOL-607-G03-H</v>
          </cell>
          <cell r="C638" t="str">
            <v>Administratively Closed</v>
          </cell>
          <cell r="D638" t="str">
            <v>Eastern Europe and Central Asia</v>
          </cell>
          <cell r="E638" t="str">
            <v>MDA</v>
          </cell>
          <cell r="F638" t="str">
            <v>Health System Restructuring Project - Coordination, Implementation, Monitoring Unit</v>
          </cell>
        </row>
        <row r="639">
          <cell r="B639" t="str">
            <v>MOL-809-G04-T</v>
          </cell>
          <cell r="C639" t="str">
            <v>Administratively Closed</v>
          </cell>
          <cell r="D639" t="str">
            <v>Eastern Europe and Central Asia</v>
          </cell>
          <cell r="E639" t="str">
            <v>MDA</v>
          </cell>
          <cell r="F639" t="str">
            <v>Health System Restructuring Project - Coordination, Implementation, Monitoring Unit</v>
          </cell>
        </row>
        <row r="640">
          <cell r="B640" t="str">
            <v>MOL-809-G05-T</v>
          </cell>
          <cell r="C640" t="str">
            <v>Administratively Closed</v>
          </cell>
          <cell r="D640" t="str">
            <v>Eastern Europe and Central Asia</v>
          </cell>
          <cell r="E640" t="str">
            <v>MDA</v>
          </cell>
          <cell r="F640" t="str">
            <v>Center for Health Policies and Studies (PAS Center)</v>
          </cell>
        </row>
        <row r="641">
          <cell r="B641" t="str">
            <v>MOL-H-PAS</v>
          </cell>
          <cell r="C641" t="str">
            <v>Financially Closed</v>
          </cell>
          <cell r="D641" t="str">
            <v>Eastern Europe and Central Asia</v>
          </cell>
          <cell r="E641" t="str">
            <v>MDA</v>
          </cell>
          <cell r="F641" t="str">
            <v>Center for Health Policies and Studies (PAS Center)</v>
          </cell>
        </row>
        <row r="642">
          <cell r="B642" t="str">
            <v>MOL-T-PAS</v>
          </cell>
          <cell r="C642" t="str">
            <v>Active</v>
          </cell>
          <cell r="D642" t="str">
            <v>Eastern Europe and Central Asia</v>
          </cell>
          <cell r="E642" t="str">
            <v>MDA</v>
          </cell>
          <cell r="F642" t="str">
            <v>Center for Health Policies and Studies (PAS Center)</v>
          </cell>
        </row>
        <row r="643">
          <cell r="B643" t="str">
            <v>MNG-H-MOH</v>
          </cell>
          <cell r="C643" t="str">
            <v>Active</v>
          </cell>
          <cell r="D643" t="str">
            <v>South East Asia</v>
          </cell>
          <cell r="E643" t="str">
            <v>MNG</v>
          </cell>
          <cell r="F643" t="str">
            <v>Ministry of Health of Mongolia</v>
          </cell>
        </row>
        <row r="644">
          <cell r="B644" t="str">
            <v>MON-102-G01-T-00</v>
          </cell>
          <cell r="C644" t="str">
            <v>Administratively Closed</v>
          </cell>
          <cell r="D644" t="str">
            <v>South East Asia</v>
          </cell>
          <cell r="E644" t="str">
            <v>MNG</v>
          </cell>
          <cell r="F644" t="str">
            <v>Ministry of Health of Mongolia</v>
          </cell>
        </row>
        <row r="645">
          <cell r="B645" t="str">
            <v>MON-202-G02-H-00</v>
          </cell>
          <cell r="C645" t="str">
            <v>Administratively Closed</v>
          </cell>
          <cell r="D645" t="str">
            <v>South East Asia</v>
          </cell>
          <cell r="E645" t="str">
            <v>MNG</v>
          </cell>
          <cell r="F645" t="str">
            <v>Ministry of Health of Mongolia</v>
          </cell>
        </row>
        <row r="646">
          <cell r="B646" t="str">
            <v>MON-405-G03-T</v>
          </cell>
          <cell r="C646" t="str">
            <v>Administratively Closed</v>
          </cell>
          <cell r="D646" t="str">
            <v>South East Asia</v>
          </cell>
          <cell r="E646" t="str">
            <v>MNG</v>
          </cell>
          <cell r="F646" t="str">
            <v>Ministry of Health of Mongolia</v>
          </cell>
        </row>
        <row r="647">
          <cell r="B647" t="str">
            <v>MON-506-G04-H</v>
          </cell>
          <cell r="C647" t="str">
            <v>Administratively Closed</v>
          </cell>
          <cell r="D647" t="str">
            <v>South East Asia</v>
          </cell>
          <cell r="E647" t="str">
            <v>MNG</v>
          </cell>
          <cell r="F647" t="str">
            <v>Ministry of Health of Mongolia</v>
          </cell>
        </row>
        <row r="648">
          <cell r="B648" t="str">
            <v>MON-708-G05-H</v>
          </cell>
          <cell r="C648" t="str">
            <v>Administratively Closed</v>
          </cell>
          <cell r="D648" t="str">
            <v>South East Asia</v>
          </cell>
          <cell r="E648" t="str">
            <v>MNG</v>
          </cell>
          <cell r="F648" t="str">
            <v>Ministry of Health of Mongolia</v>
          </cell>
        </row>
        <row r="649">
          <cell r="B649" t="str">
            <v>MON-910-G06-S</v>
          </cell>
          <cell r="C649" t="str">
            <v>Administratively Closed</v>
          </cell>
          <cell r="D649" t="str">
            <v>South East Asia</v>
          </cell>
          <cell r="E649" t="str">
            <v>MNG</v>
          </cell>
          <cell r="F649" t="str">
            <v>Ministry of Health of Mongolia</v>
          </cell>
        </row>
        <row r="650">
          <cell r="B650" t="str">
            <v>MON-H-MOH</v>
          </cell>
          <cell r="C650" t="str">
            <v>Active</v>
          </cell>
          <cell r="D650" t="str">
            <v>South East Asia</v>
          </cell>
          <cell r="E650" t="str">
            <v>MNG</v>
          </cell>
          <cell r="F650" t="str">
            <v>Ministry of Health of Mongolia</v>
          </cell>
        </row>
        <row r="651">
          <cell r="B651" t="str">
            <v>MON-S-MOH</v>
          </cell>
          <cell r="C651" t="str">
            <v>Active</v>
          </cell>
          <cell r="D651" t="str">
            <v>South East Asia</v>
          </cell>
          <cell r="E651" t="str">
            <v>MNG</v>
          </cell>
          <cell r="F651" t="str">
            <v>Ministry of Health of Mongolia</v>
          </cell>
        </row>
        <row r="652">
          <cell r="B652" t="str">
            <v>MON-T-MOH</v>
          </cell>
          <cell r="C652" t="str">
            <v>Active</v>
          </cell>
          <cell r="D652" t="str">
            <v>South East Asia</v>
          </cell>
          <cell r="E652" t="str">
            <v>MNG</v>
          </cell>
          <cell r="F652" t="str">
            <v>Ministry of Health of Mongolia</v>
          </cell>
        </row>
        <row r="653">
          <cell r="B653" t="str">
            <v>MNT-506-G01-H</v>
          </cell>
          <cell r="C653" t="str">
            <v>Administratively Closed</v>
          </cell>
          <cell r="D653" t="str">
            <v>Eastern Europe and Central Asia</v>
          </cell>
          <cell r="E653" t="str">
            <v>MNE</v>
          </cell>
          <cell r="F653" t="str">
            <v>United Nations Development Programme, Montenegro</v>
          </cell>
        </row>
        <row r="654">
          <cell r="B654" t="str">
            <v>MNT-607-G02-T</v>
          </cell>
          <cell r="C654" t="str">
            <v>Administratively Closed</v>
          </cell>
          <cell r="D654" t="str">
            <v>Eastern Europe and Central Asia</v>
          </cell>
          <cell r="E654" t="str">
            <v>MNE</v>
          </cell>
          <cell r="F654" t="str">
            <v>United Nations Development Programme, Montenegro</v>
          </cell>
        </row>
        <row r="655">
          <cell r="B655" t="str">
            <v>MNT-910-G03-H</v>
          </cell>
          <cell r="C655" t="str">
            <v>Active</v>
          </cell>
          <cell r="D655" t="str">
            <v>Eastern Europe and Central Asia</v>
          </cell>
          <cell r="E655" t="str">
            <v>MNE</v>
          </cell>
          <cell r="F655" t="str">
            <v>United Nations Development Programme, Montenegro</v>
          </cell>
        </row>
        <row r="656">
          <cell r="B656" t="str">
            <v>MOR-011-G04-H</v>
          </cell>
          <cell r="C656" t="str">
            <v>Active</v>
          </cell>
          <cell r="D656" t="str">
            <v>Middle East and North Africa</v>
          </cell>
          <cell r="E656" t="str">
            <v>MAR</v>
          </cell>
          <cell r="F656" t="str">
            <v>Ministry of Health of the Kingdom of Morocco</v>
          </cell>
        </row>
        <row r="657">
          <cell r="B657" t="str">
            <v>MOR-011-G05-T</v>
          </cell>
          <cell r="C657" t="str">
            <v>Active</v>
          </cell>
          <cell r="D657" t="str">
            <v>Middle East and North Africa</v>
          </cell>
          <cell r="E657" t="str">
            <v>MAR</v>
          </cell>
          <cell r="F657" t="str">
            <v>Ministry of Health of the Kingdom of Morocco</v>
          </cell>
        </row>
        <row r="658">
          <cell r="B658" t="str">
            <v>MOR-102-G01-H-00</v>
          </cell>
          <cell r="C658" t="str">
            <v>Administratively Closed</v>
          </cell>
          <cell r="D658" t="str">
            <v>Middle East and North Africa</v>
          </cell>
          <cell r="E658" t="str">
            <v>MAR</v>
          </cell>
          <cell r="F658" t="str">
            <v>Ministry of Health of the Kingdom of Morocco</v>
          </cell>
        </row>
        <row r="659">
          <cell r="B659" t="str">
            <v>MOR-607-G02-H</v>
          </cell>
          <cell r="C659" t="str">
            <v>Financial Closure</v>
          </cell>
          <cell r="D659" t="str">
            <v>Middle East and North Africa</v>
          </cell>
          <cell r="E659" t="str">
            <v>MAR</v>
          </cell>
          <cell r="F659" t="str">
            <v>Ministry of Health of the Kingdom of Morocco</v>
          </cell>
        </row>
        <row r="660">
          <cell r="B660" t="str">
            <v>MOR-607-G03-T</v>
          </cell>
          <cell r="C660" t="str">
            <v>Administratively Closed</v>
          </cell>
          <cell r="D660" t="str">
            <v>Middle East and North Africa</v>
          </cell>
          <cell r="E660" t="str">
            <v>MAR</v>
          </cell>
          <cell r="F660" t="str">
            <v>Ministry of Health of the Kingdom of Morocco</v>
          </cell>
        </row>
        <row r="661">
          <cell r="B661" t="str">
            <v>MOZ-202-G01-H-00</v>
          </cell>
          <cell r="C661" t="str">
            <v>Administratively Closed</v>
          </cell>
          <cell r="D661" t="str">
            <v>High Impact Africa 2</v>
          </cell>
          <cell r="E661" t="str">
            <v>MOZ</v>
          </cell>
          <cell r="F661" t="str">
            <v>National AIDS Council of Mozambique</v>
          </cell>
        </row>
        <row r="662">
          <cell r="B662" t="str">
            <v>MOZ-202-G02-H-00</v>
          </cell>
          <cell r="C662" t="str">
            <v>Administratively Closed</v>
          </cell>
          <cell r="D662" t="str">
            <v>High Impact Africa 2</v>
          </cell>
          <cell r="E662" t="str">
            <v>MOZ</v>
          </cell>
          <cell r="F662" t="str">
            <v>Ministry of Health of Mozambique</v>
          </cell>
        </row>
        <row r="663">
          <cell r="B663" t="str">
            <v>MOZ-202-G03-M-00</v>
          </cell>
          <cell r="C663" t="str">
            <v>Administratively Closed</v>
          </cell>
          <cell r="D663" t="str">
            <v>High Impact Africa 2</v>
          </cell>
          <cell r="E663" t="str">
            <v>MOZ</v>
          </cell>
          <cell r="F663" t="str">
            <v>Ministry of Health of Mozambique</v>
          </cell>
        </row>
        <row r="664">
          <cell r="B664" t="str">
            <v>MOZ-202-G04-T-00</v>
          </cell>
          <cell r="C664" t="str">
            <v>Administratively Closed</v>
          </cell>
          <cell r="D664" t="str">
            <v>High Impact Africa 2</v>
          </cell>
          <cell r="E664" t="str">
            <v>MOZ</v>
          </cell>
          <cell r="F664" t="str">
            <v>Ministry of Health of Mozambique</v>
          </cell>
        </row>
        <row r="665">
          <cell r="B665" t="str">
            <v>MOZ-607-G05-H</v>
          </cell>
          <cell r="C665" t="str">
            <v>Administratively Closed</v>
          </cell>
          <cell r="D665" t="str">
            <v>High Impact Africa 2</v>
          </cell>
          <cell r="E665" t="str">
            <v>MOZ</v>
          </cell>
          <cell r="F665" t="str">
            <v>Ministry of Health of Mozambique</v>
          </cell>
        </row>
        <row r="666">
          <cell r="B666" t="str">
            <v>MOZ-607-G06-M</v>
          </cell>
          <cell r="C666" t="str">
            <v>Administratively Closed</v>
          </cell>
          <cell r="D666" t="str">
            <v>High Impact Africa 2</v>
          </cell>
          <cell r="E666" t="str">
            <v>MOZ</v>
          </cell>
          <cell r="F666" t="str">
            <v>Ministry of Health of Mozambique</v>
          </cell>
        </row>
        <row r="667">
          <cell r="B667" t="str">
            <v>MOZ-708-G07-T</v>
          </cell>
          <cell r="C667" t="str">
            <v>Active</v>
          </cell>
          <cell r="D667" t="str">
            <v>High Impact Africa 2</v>
          </cell>
          <cell r="E667" t="str">
            <v>MOZ</v>
          </cell>
          <cell r="F667" t="str">
            <v>Ministry of Health of Mozambique</v>
          </cell>
        </row>
        <row r="668">
          <cell r="B668" t="str">
            <v>MOZ-809-G08-S</v>
          </cell>
          <cell r="C668" t="str">
            <v>Active</v>
          </cell>
          <cell r="D668" t="str">
            <v>High Impact Africa 2</v>
          </cell>
          <cell r="E668" t="str">
            <v>MOZ</v>
          </cell>
          <cell r="F668" t="str">
            <v>Ministry of Health of Mozambique</v>
          </cell>
        </row>
        <row r="669">
          <cell r="B669" t="str">
            <v>MOZ-911-G09-H</v>
          </cell>
          <cell r="C669" t="str">
            <v>Active</v>
          </cell>
          <cell r="D669" t="str">
            <v>High Impact Africa 2</v>
          </cell>
          <cell r="E669" t="str">
            <v>MOZ</v>
          </cell>
          <cell r="F669" t="str">
            <v>Fundacao para o Desenvolvimento da Comunidade</v>
          </cell>
        </row>
        <row r="670">
          <cell r="B670" t="str">
            <v>MOZ-911-G10-H</v>
          </cell>
          <cell r="C670" t="str">
            <v>Active</v>
          </cell>
          <cell r="D670" t="str">
            <v>High Impact Africa 2</v>
          </cell>
          <cell r="E670" t="str">
            <v>MOZ</v>
          </cell>
          <cell r="F670" t="str">
            <v>Ministry of Health of Mozambique</v>
          </cell>
        </row>
        <row r="671">
          <cell r="B671" t="str">
            <v>MOZ-911-G11-M</v>
          </cell>
          <cell r="C671" t="str">
            <v>Active</v>
          </cell>
          <cell r="D671" t="str">
            <v>High Impact Africa 2</v>
          </cell>
          <cell r="E671" t="str">
            <v>MOZ</v>
          </cell>
          <cell r="F671" t="str">
            <v>Ministry of Health of Mozambique</v>
          </cell>
        </row>
        <row r="672">
          <cell r="B672" t="str">
            <v>MOZ-911-G12-M</v>
          </cell>
          <cell r="C672" t="str">
            <v>Active</v>
          </cell>
          <cell r="D672" t="str">
            <v>High Impact Africa 2</v>
          </cell>
          <cell r="E672" t="str">
            <v>MOZ</v>
          </cell>
          <cell r="F672" t="str">
            <v>World Vision Mozambique</v>
          </cell>
        </row>
        <row r="673">
          <cell r="B673" t="str">
            <v>MAF-202-G01-M-00</v>
          </cell>
          <cell r="C673" t="str">
            <v>Financial Closure</v>
          </cell>
          <cell r="D673" t="str">
            <v>Southern and Eastern Africa</v>
          </cell>
          <cell r="E673" t="str">
            <v>QMB</v>
          </cell>
          <cell r="F673" t="str">
            <v>Medical Research Council</v>
          </cell>
        </row>
        <row r="674">
          <cell r="B674" t="str">
            <v>MAF-506-G02-M</v>
          </cell>
          <cell r="C674" t="str">
            <v>Administratively Closed</v>
          </cell>
          <cell r="D674" t="str">
            <v>Southern and Eastern Africa</v>
          </cell>
          <cell r="E674" t="str">
            <v>QMB</v>
          </cell>
          <cell r="F674" t="str">
            <v>Medical Research Council</v>
          </cell>
        </row>
        <row r="675">
          <cell r="B675" t="str">
            <v>MAS-911-G01-H</v>
          </cell>
          <cell r="C675" t="str">
            <v>Active</v>
          </cell>
          <cell r="D675" t="str">
            <v>Southern and Eastern Africa</v>
          </cell>
          <cell r="E675" t="str">
            <v>QML</v>
          </cell>
          <cell r="F675" t="str">
            <v>Northstar Alliance</v>
          </cell>
        </row>
        <row r="676">
          <cell r="B676" t="str">
            <v>QML-H-SADC</v>
          </cell>
          <cell r="C676" t="str">
            <v>N.D.</v>
          </cell>
          <cell r="D676" t="str">
            <v>Southern and Eastern Africa</v>
          </cell>
          <cell r="E676" t="str">
            <v>QML</v>
          </cell>
          <cell r="F676" t="str">
            <v>Not Defined</v>
          </cell>
        </row>
        <row r="677">
          <cell r="B677" t="str">
            <v>MAW-607-G01-H</v>
          </cell>
          <cell r="C677" t="str">
            <v>Active</v>
          </cell>
          <cell r="D677" t="str">
            <v>Central Africa</v>
          </cell>
          <cell r="E677" t="str">
            <v>QMC</v>
          </cell>
          <cell r="F677" t="str">
            <v>Abidjan-Lagos Corridor Organization</v>
          </cell>
        </row>
        <row r="678">
          <cell r="B678" t="str">
            <v>MAA-305-G01-M</v>
          </cell>
          <cell r="C678" t="str">
            <v>Administratively Closed</v>
          </cell>
          <cell r="D678" t="str">
            <v>Latin America and Caribbean</v>
          </cell>
          <cell r="E678" t="str">
            <v>QMD</v>
          </cell>
          <cell r="F678" t="str">
            <v>Organismo Andino de Salud - Convenio Hipólito Unanue</v>
          </cell>
        </row>
        <row r="679">
          <cell r="B679" t="str">
            <v>MAC-304-G01-H</v>
          </cell>
          <cell r="C679" t="str">
            <v>Administratively Closed</v>
          </cell>
          <cell r="D679" t="str">
            <v>Latin America and Caribbean</v>
          </cell>
          <cell r="E679" t="str">
            <v>QME</v>
          </cell>
          <cell r="F679" t="str">
            <v>CARICOM Secretariat</v>
          </cell>
        </row>
        <row r="680">
          <cell r="B680" t="str">
            <v>MAC-910-G02-H</v>
          </cell>
          <cell r="C680" t="str">
            <v>Active</v>
          </cell>
          <cell r="D680" t="str">
            <v>Latin America and Caribbean</v>
          </cell>
          <cell r="E680" t="str">
            <v>QME</v>
          </cell>
          <cell r="F680" t="str">
            <v>CARICOM Secretariat</v>
          </cell>
        </row>
        <row r="681">
          <cell r="B681" t="str">
            <v>MCP-911-G01-H</v>
          </cell>
          <cell r="C681" t="str">
            <v>Financial Closure</v>
          </cell>
          <cell r="D681" t="str">
            <v>Latin America and Caribbean</v>
          </cell>
          <cell r="E681" t="str">
            <v>QMN</v>
          </cell>
          <cell r="F681" t="str">
            <v>Cicatelli Associates</v>
          </cell>
        </row>
        <row r="682">
          <cell r="B682" t="str">
            <v>MAN-405-G01-H</v>
          </cell>
          <cell r="C682" t="str">
            <v>Administratively Closed</v>
          </cell>
          <cell r="D682" t="str">
            <v>Latin America and Caribbean</v>
          </cell>
          <cell r="E682" t="str">
            <v>QMF</v>
          </cell>
          <cell r="F682" t="str">
            <v>Caribbean Regional Network of People Living with HIV/AIDS</v>
          </cell>
        </row>
        <row r="683">
          <cell r="B683" t="str">
            <v>MAM-405-G01-H</v>
          </cell>
          <cell r="C683" t="str">
            <v>Administratively Closed</v>
          </cell>
          <cell r="D683" t="str">
            <v>Latin America and Caribbean</v>
          </cell>
          <cell r="E683" t="str">
            <v>QMG</v>
          </cell>
          <cell r="F683" t="str">
            <v>Instituto Nacional de Salud Pública</v>
          </cell>
        </row>
        <row r="684">
          <cell r="B684" t="str">
            <v>QMG-M-PSI</v>
          </cell>
          <cell r="C684" t="str">
            <v>Active</v>
          </cell>
          <cell r="D684" t="str">
            <v>Latin America and Caribbean</v>
          </cell>
          <cell r="E684" t="str">
            <v>QMG</v>
          </cell>
          <cell r="F684" t="str">
            <v>Population Services International, USA</v>
          </cell>
        </row>
        <row r="685">
          <cell r="B685" t="str">
            <v>MAE-305-G01-H</v>
          </cell>
          <cell r="C685" t="str">
            <v>Administratively Closed</v>
          </cell>
          <cell r="D685" t="str">
            <v>Latin America and Caribbean</v>
          </cell>
          <cell r="E685" t="str">
            <v>QMH</v>
          </cell>
          <cell r="F685" t="str">
            <v>Organization Of Eastern Caribbean States</v>
          </cell>
        </row>
        <row r="686">
          <cell r="B686" t="str">
            <v>MAR-708-G01-H</v>
          </cell>
          <cell r="C686" t="str">
            <v>Administratively Closed</v>
          </cell>
          <cell r="D686" t="str">
            <v>Latin America and Caribbean</v>
          </cell>
          <cell r="E686" t="str">
            <v>QMI</v>
          </cell>
          <cell r="F686" t="str">
            <v>Secretaría de la Integración Social Centroamericana</v>
          </cell>
        </row>
        <row r="687">
          <cell r="B687" t="str">
            <v>MAR-H-SISCA</v>
          </cell>
          <cell r="C687" t="str">
            <v>Active</v>
          </cell>
          <cell r="D687" t="str">
            <v>Latin America and Caribbean</v>
          </cell>
          <cell r="E687" t="str">
            <v>QMI</v>
          </cell>
          <cell r="F687" t="str">
            <v>Secretaría de la Integración Social Centroamericana</v>
          </cell>
        </row>
        <row r="688">
          <cell r="B688" t="str">
            <v>MAT-011-G01-H</v>
          </cell>
          <cell r="C688" t="str">
            <v>Active</v>
          </cell>
          <cell r="D688" t="str">
            <v>Latin America and Caribbean</v>
          </cell>
          <cell r="E688" t="str">
            <v>QMO</v>
          </cell>
          <cell r="F688" t="str">
            <v>International Organization for Migration, Argentina</v>
          </cell>
        </row>
        <row r="689">
          <cell r="B689" t="str">
            <v>MEA-011-G01-H</v>
          </cell>
          <cell r="C689" t="str">
            <v>Active</v>
          </cell>
          <cell r="D689" t="str">
            <v>South East Asia</v>
          </cell>
          <cell r="E689" t="str">
            <v>QMP</v>
          </cell>
          <cell r="F689" t="str">
            <v>Asia Pacific Network of People Living with HIV/AIDS</v>
          </cell>
        </row>
        <row r="690">
          <cell r="B690" t="str">
            <v>MEI-011-G01-H</v>
          </cell>
          <cell r="C690" t="str">
            <v>Active</v>
          </cell>
          <cell r="D690" t="str">
            <v>High Impact Asia</v>
          </cell>
          <cell r="E690" t="str">
            <v>QMQ</v>
          </cell>
          <cell r="F690" t="str">
            <v>Humanist Institute for Development Cooperation, HQ</v>
          </cell>
        </row>
        <row r="691">
          <cell r="B691" t="str">
            <v>QMU-M-UNOPS</v>
          </cell>
          <cell r="C691" t="str">
            <v>Active</v>
          </cell>
          <cell r="D691" t="str">
            <v>High Impact Asia</v>
          </cell>
          <cell r="E691" t="str">
            <v>QMU</v>
          </cell>
          <cell r="F691" t="str">
            <v>United Nations Office for Project Services, Denmark</v>
          </cell>
        </row>
        <row r="692">
          <cell r="B692" t="str">
            <v>QMT-H-EHRN</v>
          </cell>
          <cell r="C692" t="str">
            <v>Active</v>
          </cell>
          <cell r="D692" t="str">
            <v>Eastern Europe and Central Asia</v>
          </cell>
          <cell r="E692" t="str">
            <v>QMT</v>
          </cell>
          <cell r="F692" t="str">
            <v>Eurasian Harm Reduction Network</v>
          </cell>
        </row>
        <row r="693">
          <cell r="B693" t="str">
            <v>QSF-T-IOM</v>
          </cell>
          <cell r="C693" t="str">
            <v>Active</v>
          </cell>
          <cell r="D693" t="str">
            <v>Middle East and North Africa</v>
          </cell>
          <cell r="E693" t="str">
            <v>QMW</v>
          </cell>
          <cell r="F693" t="str">
            <v>International Organization for Migration, Switzerland</v>
          </cell>
        </row>
        <row r="694">
          <cell r="B694" t="str">
            <v>MMM-011-G01-H</v>
          </cell>
          <cell r="C694" t="str">
            <v>Active</v>
          </cell>
          <cell r="D694" t="str">
            <v>Middle East and North Africa</v>
          </cell>
          <cell r="E694" t="str">
            <v>QMR</v>
          </cell>
          <cell r="F694" t="str">
            <v>Middle East and North Africa Harm Reduction Association</v>
          </cell>
        </row>
        <row r="695">
          <cell r="B695" t="str">
            <v>MSA-910-G01-H</v>
          </cell>
          <cell r="C695" t="str">
            <v>Administratively Closed</v>
          </cell>
          <cell r="D695" t="str">
            <v>South East Asia</v>
          </cell>
          <cell r="E695" t="str">
            <v>QMS</v>
          </cell>
          <cell r="F695" t="str">
            <v>Population Services International, Nepal</v>
          </cell>
        </row>
        <row r="696">
          <cell r="B696" t="str">
            <v>MSA-910-G02-H</v>
          </cell>
          <cell r="C696" t="str">
            <v>Active</v>
          </cell>
          <cell r="D696" t="str">
            <v>South East Asia</v>
          </cell>
          <cell r="E696" t="str">
            <v>QMS</v>
          </cell>
          <cell r="F696" t="str">
            <v>United Nations Development Programme, Asia Pacific</v>
          </cell>
        </row>
        <row r="697">
          <cell r="B697" t="str">
            <v>MWP-202-G01-H-00</v>
          </cell>
          <cell r="C697" t="str">
            <v>Administratively Closed</v>
          </cell>
          <cell r="D697" t="str">
            <v>South East Asia</v>
          </cell>
          <cell r="E697" t="str">
            <v>QMJ</v>
          </cell>
          <cell r="F697" t="str">
            <v>Secretariat of the Pacific Community</v>
          </cell>
        </row>
        <row r="698">
          <cell r="B698" t="str">
            <v>MWP-202-G02-M-00</v>
          </cell>
          <cell r="C698" t="str">
            <v>Administratively Closed</v>
          </cell>
          <cell r="D698" t="str">
            <v>South East Asia</v>
          </cell>
          <cell r="E698" t="str">
            <v>QMJ</v>
          </cell>
          <cell r="F698" t="str">
            <v>Secretariat of the Pacific Community</v>
          </cell>
        </row>
        <row r="699">
          <cell r="B699" t="str">
            <v>MWP-202-G03-T-00</v>
          </cell>
          <cell r="C699" t="str">
            <v>Administratively Closed</v>
          </cell>
          <cell r="D699" t="str">
            <v>South East Asia</v>
          </cell>
          <cell r="E699" t="str">
            <v>QMJ</v>
          </cell>
          <cell r="F699" t="str">
            <v>Secretariat of the Pacific Community</v>
          </cell>
        </row>
        <row r="700">
          <cell r="B700" t="str">
            <v>MWP-506-G04-M</v>
          </cell>
          <cell r="C700" t="str">
            <v>Administratively Closed</v>
          </cell>
          <cell r="D700" t="str">
            <v>South East Asia</v>
          </cell>
          <cell r="E700" t="str">
            <v>QMJ</v>
          </cell>
          <cell r="F700" t="str">
            <v>Secretariat of the Pacific Community</v>
          </cell>
        </row>
        <row r="701">
          <cell r="B701" t="str">
            <v>MWP-708-G06-H</v>
          </cell>
          <cell r="C701" t="str">
            <v>Active</v>
          </cell>
          <cell r="D701" t="str">
            <v>South East Asia</v>
          </cell>
          <cell r="E701" t="str">
            <v>QMJ</v>
          </cell>
          <cell r="F701" t="str">
            <v>Secretariat of the Pacific Community</v>
          </cell>
        </row>
        <row r="702">
          <cell r="B702" t="str">
            <v>MWP-708-G07-T</v>
          </cell>
          <cell r="C702" t="str">
            <v>Active</v>
          </cell>
          <cell r="D702" t="str">
            <v>South East Asia</v>
          </cell>
          <cell r="E702" t="str">
            <v>QMJ</v>
          </cell>
          <cell r="F702" t="str">
            <v>Secretariat of the Pacific Community</v>
          </cell>
        </row>
        <row r="703">
          <cell r="B703" t="str">
            <v>QMJ-507-G05-M</v>
          </cell>
          <cell r="C703" t="str">
            <v>Active</v>
          </cell>
          <cell r="D703" t="str">
            <v>South East Asia</v>
          </cell>
          <cell r="E703" t="str">
            <v>QMJ</v>
          </cell>
          <cell r="F703" t="str">
            <v>Secretariat of the Pacific Community</v>
          </cell>
        </row>
        <row r="704">
          <cell r="B704" t="str">
            <v>QMJ-M-SPC</v>
          </cell>
          <cell r="C704" t="str">
            <v>N.D.</v>
          </cell>
          <cell r="D704" t="str">
            <v>South East Asia</v>
          </cell>
          <cell r="E704" t="str">
            <v>QMJ</v>
          </cell>
          <cell r="F704" t="str">
            <v>Not Defined</v>
          </cell>
        </row>
        <row r="705">
          <cell r="B705" t="str">
            <v>QMJ-T-SPC</v>
          </cell>
          <cell r="C705" t="str">
            <v>N.D.</v>
          </cell>
          <cell r="D705" t="str">
            <v>South East Asia</v>
          </cell>
          <cell r="E705" t="str">
            <v>QMJ</v>
          </cell>
          <cell r="F705" t="str">
            <v>Not Defined</v>
          </cell>
        </row>
        <row r="706">
          <cell r="B706" t="str">
            <v>MYN-202-G01-T-00</v>
          </cell>
          <cell r="C706" t="str">
            <v>Administratively Closed</v>
          </cell>
          <cell r="D706" t="str">
            <v>High Impact Asia</v>
          </cell>
          <cell r="E706" t="str">
            <v>MMR</v>
          </cell>
          <cell r="F706" t="str">
            <v>United Nations Development Programme, Myanmar</v>
          </cell>
        </row>
        <row r="707">
          <cell r="B707" t="str">
            <v>MYN-305-G02-H</v>
          </cell>
          <cell r="C707" t="str">
            <v>Administratively Closed</v>
          </cell>
          <cell r="D707" t="str">
            <v>High Impact Asia</v>
          </cell>
          <cell r="E707" t="str">
            <v>MMR</v>
          </cell>
          <cell r="F707" t="str">
            <v>United Nations Development Programme, Myanmar</v>
          </cell>
        </row>
        <row r="708">
          <cell r="B708" t="str">
            <v>MYN-305-G03-M</v>
          </cell>
          <cell r="C708" t="str">
            <v>Administratively Closed</v>
          </cell>
          <cell r="D708" t="str">
            <v>High Impact Asia</v>
          </cell>
          <cell r="E708" t="str">
            <v>MMR</v>
          </cell>
          <cell r="F708" t="str">
            <v>United Nations Development Programme, Myanmar</v>
          </cell>
        </row>
        <row r="709">
          <cell r="B709" t="str">
            <v>MYN-H-SCF</v>
          </cell>
          <cell r="C709" t="str">
            <v>Active</v>
          </cell>
          <cell r="D709" t="str">
            <v>High Impact Asia</v>
          </cell>
          <cell r="E709" t="str">
            <v>MMR</v>
          </cell>
          <cell r="F709" t="str">
            <v>Save the Children, Myanmar Office</v>
          </cell>
        </row>
        <row r="710">
          <cell r="B710" t="str">
            <v>MYN-H-UNOPS</v>
          </cell>
          <cell r="C710" t="str">
            <v>Active</v>
          </cell>
          <cell r="D710" t="str">
            <v>High Impact Asia</v>
          </cell>
          <cell r="E710" t="str">
            <v>MMR</v>
          </cell>
          <cell r="F710" t="str">
            <v>United Nations Office for Project Services, Denmark</v>
          </cell>
        </row>
        <row r="711">
          <cell r="B711" t="str">
            <v>MYN-M-SCF</v>
          </cell>
          <cell r="C711" t="str">
            <v>Active</v>
          </cell>
          <cell r="D711" t="str">
            <v>High Impact Asia</v>
          </cell>
          <cell r="E711" t="str">
            <v>MMR</v>
          </cell>
          <cell r="F711" t="str">
            <v>Save the Children, Myanmar Office</v>
          </cell>
        </row>
        <row r="712">
          <cell r="B712" t="str">
            <v>MYN-M-UNOPS</v>
          </cell>
          <cell r="C712" t="str">
            <v>Active</v>
          </cell>
          <cell r="D712" t="str">
            <v>High Impact Asia</v>
          </cell>
          <cell r="E712" t="str">
            <v>MMR</v>
          </cell>
          <cell r="F712" t="str">
            <v>United Nations Office for Project Services, Denmark</v>
          </cell>
        </row>
        <row r="713">
          <cell r="B713" t="str">
            <v>MYN-T-SCF</v>
          </cell>
          <cell r="C713" t="str">
            <v>Active</v>
          </cell>
          <cell r="D713" t="str">
            <v>High Impact Asia</v>
          </cell>
          <cell r="E713" t="str">
            <v>MMR</v>
          </cell>
          <cell r="F713" t="str">
            <v>Save the Children, Myanmar Office</v>
          </cell>
        </row>
        <row r="714">
          <cell r="B714" t="str">
            <v>MYN-T-UNOPS</v>
          </cell>
          <cell r="C714" t="str">
            <v>Active</v>
          </cell>
          <cell r="D714" t="str">
            <v>High Impact Asia</v>
          </cell>
          <cell r="E714" t="str">
            <v>MMR</v>
          </cell>
          <cell r="F714" t="str">
            <v>United Nations Office for Project Services, Denmark</v>
          </cell>
        </row>
        <row r="715">
          <cell r="B715" t="str">
            <v>NMB-202-G01-H-00</v>
          </cell>
          <cell r="C715" t="str">
            <v>Active</v>
          </cell>
          <cell r="D715" t="str">
            <v>Southern and Eastern Africa</v>
          </cell>
          <cell r="E715" t="str">
            <v>NAM</v>
          </cell>
          <cell r="F715" t="str">
            <v>Ministry of Health and Social Services of Namibia</v>
          </cell>
        </row>
        <row r="716">
          <cell r="B716" t="str">
            <v>NMB-202-G02-T-00</v>
          </cell>
          <cell r="C716" t="str">
            <v>Administratively Closed</v>
          </cell>
          <cell r="D716" t="str">
            <v>Southern and Eastern Africa</v>
          </cell>
          <cell r="E716" t="str">
            <v>NAM</v>
          </cell>
          <cell r="F716" t="str">
            <v>Ministry of Health and Social Services of Namibia</v>
          </cell>
        </row>
        <row r="717">
          <cell r="B717" t="str">
            <v>NMB-202-G03-M-00</v>
          </cell>
          <cell r="C717" t="str">
            <v>Active</v>
          </cell>
          <cell r="D717" t="str">
            <v>Southern and Eastern Africa</v>
          </cell>
          <cell r="E717" t="str">
            <v>NAM</v>
          </cell>
          <cell r="F717" t="str">
            <v>Ministry of Health and Social Services of Namibia</v>
          </cell>
        </row>
        <row r="718">
          <cell r="B718" t="str">
            <v>NMB-202-G07-H</v>
          </cell>
          <cell r="C718" t="str">
            <v>Active</v>
          </cell>
          <cell r="D718" t="str">
            <v>Southern and Eastern Africa</v>
          </cell>
          <cell r="E718" t="str">
            <v>NAM</v>
          </cell>
          <cell r="F718" t="str">
            <v>Namibia Network of AIDS Service Organisations</v>
          </cell>
        </row>
        <row r="719">
          <cell r="B719" t="str">
            <v>NMB-506-G04-T</v>
          </cell>
          <cell r="C719" t="str">
            <v>Financial Closure</v>
          </cell>
          <cell r="D719" t="str">
            <v>Southern and Eastern Africa</v>
          </cell>
          <cell r="E719" t="str">
            <v>NAM</v>
          </cell>
          <cell r="F719" t="str">
            <v>Ministry of Health and Social Services of Namibia</v>
          </cell>
        </row>
        <row r="720">
          <cell r="B720" t="str">
            <v>NMB-607-G06-M</v>
          </cell>
          <cell r="C720" t="str">
            <v>Financial Closure</v>
          </cell>
          <cell r="D720" t="str">
            <v>Southern and Eastern Africa</v>
          </cell>
          <cell r="E720" t="str">
            <v>NAM</v>
          </cell>
          <cell r="F720" t="str">
            <v>Ministry of Health and Social Services of Namibia</v>
          </cell>
        </row>
        <row r="721">
          <cell r="B721" t="str">
            <v>NMB-T-MoHSS</v>
          </cell>
          <cell r="C721" t="str">
            <v>Active</v>
          </cell>
          <cell r="D721" t="str">
            <v>Southern and Eastern Africa</v>
          </cell>
          <cell r="E721" t="str">
            <v>NAM</v>
          </cell>
          <cell r="F721" t="str">
            <v>Ministry of Health and Social Services of Namibia</v>
          </cell>
        </row>
        <row r="722">
          <cell r="B722" t="str">
            <v>NEP-202-G01-H-00</v>
          </cell>
          <cell r="C722" t="str">
            <v>Administratively Closed</v>
          </cell>
          <cell r="D722" t="str">
            <v>South East Asia</v>
          </cell>
          <cell r="E722" t="str">
            <v>NPL</v>
          </cell>
          <cell r="F722" t="str">
            <v>Ministry of Health of Nepal</v>
          </cell>
        </row>
        <row r="723">
          <cell r="B723" t="str">
            <v>NEP-202-G02-M-00</v>
          </cell>
          <cell r="C723" t="str">
            <v>Administratively Closed</v>
          </cell>
          <cell r="D723" t="str">
            <v>South East Asia</v>
          </cell>
          <cell r="E723" t="str">
            <v>NPL</v>
          </cell>
          <cell r="F723" t="str">
            <v>Ministry of Health of Nepal</v>
          </cell>
        </row>
        <row r="724">
          <cell r="B724" t="str">
            <v>NEP-202-G04-M-00</v>
          </cell>
          <cell r="C724" t="str">
            <v>Administratively Closed</v>
          </cell>
          <cell r="D724" t="str">
            <v>South East Asia</v>
          </cell>
          <cell r="E724" t="str">
            <v>NPL</v>
          </cell>
          <cell r="F724" t="str">
            <v>Population Services International, Nepal</v>
          </cell>
        </row>
        <row r="725">
          <cell r="B725" t="str">
            <v>NEP-202-G05-H-00</v>
          </cell>
          <cell r="C725" t="str">
            <v>Administratively Closed</v>
          </cell>
          <cell r="D725" t="str">
            <v>South East Asia</v>
          </cell>
          <cell r="E725" t="str">
            <v>NPL</v>
          </cell>
          <cell r="F725" t="str">
            <v>United Nations Development Programme, Nepal</v>
          </cell>
        </row>
        <row r="726">
          <cell r="B726" t="str">
            <v>NEP-405-G03-T</v>
          </cell>
          <cell r="C726" t="str">
            <v>Administratively Closed</v>
          </cell>
          <cell r="D726" t="str">
            <v>South East Asia</v>
          </cell>
          <cell r="E726" t="str">
            <v>NPL</v>
          </cell>
          <cell r="F726" t="str">
            <v>Ministry of Health of Nepal</v>
          </cell>
        </row>
        <row r="727">
          <cell r="B727" t="str">
            <v>NEP-708-G06-M</v>
          </cell>
          <cell r="C727" t="str">
            <v>Administratively Closed</v>
          </cell>
          <cell r="D727" t="str">
            <v>South East Asia</v>
          </cell>
          <cell r="E727" t="str">
            <v>NPL</v>
          </cell>
          <cell r="F727" t="str">
            <v>Population Services International, Nepal</v>
          </cell>
        </row>
        <row r="728">
          <cell r="B728" t="str">
            <v>NEP-708-G07-M</v>
          </cell>
          <cell r="C728" t="str">
            <v>Administratively Closed</v>
          </cell>
          <cell r="D728" t="str">
            <v>South East Asia</v>
          </cell>
          <cell r="E728" t="str">
            <v>NPL</v>
          </cell>
          <cell r="F728" t="str">
            <v>Ministry of Health of Nepal</v>
          </cell>
        </row>
        <row r="729">
          <cell r="B729" t="str">
            <v>NEP-708-G08-T</v>
          </cell>
          <cell r="C729" t="str">
            <v>Administratively Closed</v>
          </cell>
          <cell r="D729" t="str">
            <v>South East Asia</v>
          </cell>
          <cell r="E729" t="str">
            <v>NPL</v>
          </cell>
          <cell r="F729" t="str">
            <v>Ministry of Health of Nepal</v>
          </cell>
        </row>
        <row r="730">
          <cell r="B730" t="str">
            <v>NEP-708-G09-H</v>
          </cell>
          <cell r="C730" t="str">
            <v>Administratively Closed</v>
          </cell>
          <cell r="D730" t="str">
            <v>South East Asia</v>
          </cell>
          <cell r="E730" t="str">
            <v>NPL</v>
          </cell>
          <cell r="F730" t="str">
            <v>United Nations Development Programme, Nepal</v>
          </cell>
        </row>
        <row r="731">
          <cell r="B731" t="str">
            <v>NEP-708-G10-H</v>
          </cell>
          <cell r="C731" t="str">
            <v>Administratively Closed</v>
          </cell>
          <cell r="D731" t="str">
            <v>South East Asia</v>
          </cell>
          <cell r="E731" t="str">
            <v>NPL</v>
          </cell>
          <cell r="F731" t="str">
            <v>Save the Children, Nepal Office</v>
          </cell>
        </row>
        <row r="732">
          <cell r="B732" t="str">
            <v>NEP-708-G11-H</v>
          </cell>
          <cell r="C732" t="str">
            <v>Financial Closure</v>
          </cell>
          <cell r="D732" t="str">
            <v>South East Asia</v>
          </cell>
          <cell r="E732" t="str">
            <v>NPL</v>
          </cell>
          <cell r="F732" t="str">
            <v>Family Planning Association of Nepal</v>
          </cell>
        </row>
        <row r="733">
          <cell r="B733" t="str">
            <v>NEP-711-G13-H</v>
          </cell>
          <cell r="C733" t="str">
            <v>Administratively Closed</v>
          </cell>
          <cell r="D733" t="str">
            <v>South East Asia</v>
          </cell>
          <cell r="E733" t="str">
            <v>NPL</v>
          </cell>
          <cell r="F733" t="str">
            <v>Ministry of Health of Nepal</v>
          </cell>
        </row>
        <row r="734">
          <cell r="B734" t="str">
            <v>NEP-H-NCASC</v>
          </cell>
          <cell r="C734" t="str">
            <v>Active</v>
          </cell>
          <cell r="D734" t="str">
            <v>South East Asia</v>
          </cell>
          <cell r="E734" t="str">
            <v>NPL</v>
          </cell>
          <cell r="F734" t="str">
            <v>Ministry of Health of Nepal</v>
          </cell>
        </row>
        <row r="735">
          <cell r="B735" t="str">
            <v>NEP-H-SCF</v>
          </cell>
          <cell r="C735" t="str">
            <v>Active</v>
          </cell>
          <cell r="D735" t="str">
            <v>South East Asia</v>
          </cell>
          <cell r="E735" t="str">
            <v>NPL</v>
          </cell>
          <cell r="F735" t="str">
            <v>Save the Children, Nepal Office</v>
          </cell>
        </row>
        <row r="736">
          <cell r="B736" t="str">
            <v>NEP-M-EDCD</v>
          </cell>
          <cell r="C736" t="str">
            <v>Active</v>
          </cell>
          <cell r="D736" t="str">
            <v>South East Asia</v>
          </cell>
          <cell r="E736" t="str">
            <v>NPL</v>
          </cell>
          <cell r="F736" t="str">
            <v>Ministry of Health of Nepal</v>
          </cell>
        </row>
        <row r="737">
          <cell r="B737" t="str">
            <v>NEP-M-PSI</v>
          </cell>
          <cell r="C737" t="str">
            <v>Financial Closure</v>
          </cell>
          <cell r="D737" t="str">
            <v>South East Asia</v>
          </cell>
          <cell r="E737" t="str">
            <v>NPL</v>
          </cell>
          <cell r="F737" t="str">
            <v>Population Services International, Nepal</v>
          </cell>
        </row>
        <row r="738">
          <cell r="B738" t="str">
            <v>NEP-T-NTC</v>
          </cell>
          <cell r="C738" t="str">
            <v>Active</v>
          </cell>
          <cell r="D738" t="str">
            <v>South East Asia</v>
          </cell>
          <cell r="E738" t="str">
            <v>NPL</v>
          </cell>
          <cell r="F738" t="str">
            <v>Ministry of Health of Nepal</v>
          </cell>
        </row>
        <row r="739">
          <cell r="B739" t="str">
            <v>NIC-202-G01-M-00</v>
          </cell>
          <cell r="C739" t="str">
            <v>Administratively Closed</v>
          </cell>
          <cell r="D739" t="str">
            <v>Latin America and Caribbean</v>
          </cell>
          <cell r="E739" t="str">
            <v>NIC</v>
          </cell>
          <cell r="F739" t="str">
            <v>Federación Red NicaSalud</v>
          </cell>
        </row>
        <row r="740">
          <cell r="B740" t="str">
            <v>NIC-202-G02-T-00</v>
          </cell>
          <cell r="C740" t="str">
            <v>Administratively Closed</v>
          </cell>
          <cell r="D740" t="str">
            <v>Latin America and Caribbean</v>
          </cell>
          <cell r="E740" t="str">
            <v>NIC</v>
          </cell>
          <cell r="F740" t="str">
            <v>Federación Red NicaSalud</v>
          </cell>
        </row>
        <row r="741">
          <cell r="B741" t="str">
            <v>NIC-202-G03-H-00</v>
          </cell>
          <cell r="C741" t="str">
            <v>Administratively Closed</v>
          </cell>
          <cell r="D741" t="str">
            <v>Latin America and Caribbean</v>
          </cell>
          <cell r="E741" t="str">
            <v>NIC</v>
          </cell>
          <cell r="F741" t="str">
            <v>Federación Red NicaSalud</v>
          </cell>
        </row>
        <row r="742">
          <cell r="B742" t="str">
            <v>NIC-202-G05-T-00</v>
          </cell>
          <cell r="C742" t="str">
            <v>Active</v>
          </cell>
          <cell r="D742" t="str">
            <v>Latin America and Caribbean</v>
          </cell>
          <cell r="E742" t="str">
            <v>NIC</v>
          </cell>
          <cell r="F742" t="str">
            <v>Instituto Nicaraguense de Seguridad Social</v>
          </cell>
        </row>
        <row r="743">
          <cell r="B743" t="str">
            <v>NIC-708-G04-M</v>
          </cell>
          <cell r="C743" t="str">
            <v>Administratively Closed</v>
          </cell>
          <cell r="D743" t="str">
            <v>Latin America and Caribbean</v>
          </cell>
          <cell r="E743" t="str">
            <v>NIC</v>
          </cell>
          <cell r="F743" t="str">
            <v>Federación Red NicaSalud</v>
          </cell>
        </row>
        <row r="744">
          <cell r="B744" t="str">
            <v>NIC-809-G06-H</v>
          </cell>
          <cell r="C744" t="str">
            <v>Active</v>
          </cell>
          <cell r="D744" t="str">
            <v>Latin America and Caribbean</v>
          </cell>
          <cell r="E744" t="str">
            <v>NIC</v>
          </cell>
          <cell r="F744" t="str">
            <v>Instituto Nicaraguense de Seguridad Social</v>
          </cell>
        </row>
        <row r="745">
          <cell r="B745" t="str">
            <v>NIC-910-G07-M</v>
          </cell>
          <cell r="C745" t="str">
            <v>Administratively Closed</v>
          </cell>
          <cell r="D745" t="str">
            <v>Latin America and Caribbean</v>
          </cell>
          <cell r="E745" t="str">
            <v>NIC</v>
          </cell>
          <cell r="F745" t="str">
            <v>Federación Red NicaSalud</v>
          </cell>
        </row>
        <row r="746">
          <cell r="B746" t="str">
            <v>NIC-H-INSS</v>
          </cell>
          <cell r="C746" t="str">
            <v>N.D.</v>
          </cell>
          <cell r="D746" t="str">
            <v>Latin America and Caribbean</v>
          </cell>
          <cell r="E746" t="str">
            <v>NIC</v>
          </cell>
          <cell r="F746" t="str">
            <v>Not Defined</v>
          </cell>
        </row>
        <row r="747">
          <cell r="B747" t="str">
            <v>NIC-M-REDNICA</v>
          </cell>
          <cell r="C747" t="str">
            <v>Active</v>
          </cell>
          <cell r="D747" t="str">
            <v>Latin America and Caribbean</v>
          </cell>
          <cell r="E747" t="str">
            <v>NIC</v>
          </cell>
          <cell r="F747" t="str">
            <v>Federación Red NicaSalud</v>
          </cell>
        </row>
        <row r="748">
          <cell r="B748" t="str">
            <v>NER-S-SCF</v>
          </cell>
          <cell r="C748" t="str">
            <v>Active</v>
          </cell>
          <cell r="D748" t="str">
            <v>Western Africa</v>
          </cell>
          <cell r="E748" t="str">
            <v>NER</v>
          </cell>
          <cell r="F748" t="str">
            <v>Save the Children Federation, Inc.</v>
          </cell>
        </row>
        <row r="749">
          <cell r="B749" t="str">
            <v>NGR-013-G09-T</v>
          </cell>
          <cell r="C749" t="str">
            <v>Active</v>
          </cell>
          <cell r="D749" t="str">
            <v>Western Africa</v>
          </cell>
          <cell r="E749" t="str">
            <v>NER</v>
          </cell>
          <cell r="F749" t="str">
            <v>International Federation of Red Cross and Red Crescent Societies</v>
          </cell>
        </row>
        <row r="750">
          <cell r="B750" t="str">
            <v>NGR-304-G01-H</v>
          </cell>
          <cell r="C750" t="str">
            <v>Administratively Closed</v>
          </cell>
          <cell r="D750" t="str">
            <v>Western Africa</v>
          </cell>
          <cell r="E750" t="str">
            <v>NER</v>
          </cell>
          <cell r="F750" t="str">
            <v>Multi-sectorial Coordination Unit to Fight HIV/AIDS/STI</v>
          </cell>
        </row>
        <row r="751">
          <cell r="B751" t="str">
            <v>NGR-304-G02-M</v>
          </cell>
          <cell r="C751" t="str">
            <v>Administratively Closed</v>
          </cell>
          <cell r="D751" t="str">
            <v>Western Africa</v>
          </cell>
          <cell r="E751" t="str">
            <v>NER</v>
          </cell>
          <cell r="F751" t="str">
            <v>Centre of International Cooperation in Health and Development, Niger</v>
          </cell>
        </row>
        <row r="752">
          <cell r="B752" t="str">
            <v>NGR-306-G06-M</v>
          </cell>
          <cell r="C752" t="str">
            <v>Administratively Closed</v>
          </cell>
          <cell r="D752" t="str">
            <v>Western Africa</v>
          </cell>
          <cell r="E752" t="str">
            <v>NER</v>
          </cell>
          <cell r="F752" t="str">
            <v>United Nations Development Programme, Niger</v>
          </cell>
        </row>
        <row r="753">
          <cell r="B753" t="str">
            <v>NGR-405-G03-M</v>
          </cell>
          <cell r="C753" t="str">
            <v>Administratively Closed</v>
          </cell>
          <cell r="D753" t="str">
            <v>Western Africa</v>
          </cell>
          <cell r="E753" t="str">
            <v>NER</v>
          </cell>
          <cell r="F753" t="str">
            <v>Int'l Federation of Red Cross and Red Crescent</v>
          </cell>
        </row>
        <row r="754">
          <cell r="B754" t="str">
            <v>NGR-506-G04-M</v>
          </cell>
          <cell r="C754" t="str">
            <v>Financial Closure</v>
          </cell>
          <cell r="D754" t="str">
            <v>Western Africa</v>
          </cell>
          <cell r="E754" t="str">
            <v>NER</v>
          </cell>
          <cell r="F754" t="str">
            <v>United Nations Development Programme, Niger</v>
          </cell>
        </row>
        <row r="755">
          <cell r="B755" t="str">
            <v>NGR-506-G05-T</v>
          </cell>
          <cell r="C755" t="str">
            <v>Financial Closure</v>
          </cell>
          <cell r="D755" t="str">
            <v>Western Africa</v>
          </cell>
          <cell r="E755" t="str">
            <v>NER</v>
          </cell>
          <cell r="F755" t="str">
            <v>United Nations Development Programme, Niger</v>
          </cell>
        </row>
        <row r="756">
          <cell r="B756" t="str">
            <v>NGR-708-G07-M</v>
          </cell>
          <cell r="C756" t="str">
            <v>Active</v>
          </cell>
          <cell r="D756" t="str">
            <v>Western Africa</v>
          </cell>
          <cell r="E756" t="str">
            <v>NER</v>
          </cell>
          <cell r="F756" t="str">
            <v>Catholic Relief Services - Niger</v>
          </cell>
        </row>
        <row r="757">
          <cell r="B757" t="str">
            <v>NGR-708-G08-H</v>
          </cell>
          <cell r="C757" t="str">
            <v>Active</v>
          </cell>
          <cell r="D757" t="str">
            <v>Western Africa</v>
          </cell>
          <cell r="E757" t="str">
            <v>NER</v>
          </cell>
          <cell r="F757" t="str">
            <v>Multi-sectorial Coordination Unit to Fight HIV/AIDS/STI</v>
          </cell>
        </row>
        <row r="758">
          <cell r="B758" t="str">
            <v>NGA-102-G01-H-00</v>
          </cell>
          <cell r="C758" t="str">
            <v>Financial Closure</v>
          </cell>
          <cell r="D758" t="str">
            <v>High Impact Africa 1</v>
          </cell>
          <cell r="E758" t="str">
            <v>NGA</v>
          </cell>
          <cell r="F758" t="str">
            <v>National Agency for Control of AIDS</v>
          </cell>
        </row>
        <row r="759">
          <cell r="B759" t="str">
            <v>NGA-102-G02-H-00</v>
          </cell>
          <cell r="C759" t="str">
            <v>Financial Closure</v>
          </cell>
          <cell r="D759" t="str">
            <v>High Impact Africa 1</v>
          </cell>
          <cell r="E759" t="str">
            <v>NGA</v>
          </cell>
          <cell r="F759" t="str">
            <v>Yakubu Gowon Center for National Unity and International Cooperation</v>
          </cell>
        </row>
        <row r="760">
          <cell r="B760" t="str">
            <v>NGA-102-G03-H-00</v>
          </cell>
          <cell r="C760" t="str">
            <v>Financial Closure</v>
          </cell>
          <cell r="D760" t="str">
            <v>High Impact Africa 1</v>
          </cell>
          <cell r="E760" t="str">
            <v>NGA</v>
          </cell>
          <cell r="F760" t="str">
            <v>National Agency for Control of AIDS</v>
          </cell>
        </row>
        <row r="761">
          <cell r="B761" t="str">
            <v>NGA-202-G04-M-00</v>
          </cell>
          <cell r="C761" t="str">
            <v>Financial Closure</v>
          </cell>
          <cell r="D761" t="str">
            <v>High Impact Africa 1</v>
          </cell>
          <cell r="E761" t="str">
            <v>NGA</v>
          </cell>
          <cell r="F761" t="str">
            <v>Yakubu Gowon Center for National Unity and International Cooperation</v>
          </cell>
        </row>
        <row r="762">
          <cell r="B762" t="str">
            <v>NGA-404-G05-M</v>
          </cell>
          <cell r="C762" t="str">
            <v>Financial Closure</v>
          </cell>
          <cell r="D762" t="str">
            <v>High Impact Africa 1</v>
          </cell>
          <cell r="E762" t="str">
            <v>NGA</v>
          </cell>
          <cell r="F762" t="str">
            <v>Yakubu Gowon Center for National Unity and International Cooperation</v>
          </cell>
        </row>
        <row r="763">
          <cell r="B763" t="str">
            <v>NGA-407-G10-M</v>
          </cell>
          <cell r="C763" t="str">
            <v>Financial Closure</v>
          </cell>
          <cell r="D763" t="str">
            <v>High Impact Africa 1</v>
          </cell>
          <cell r="E763" t="str">
            <v>NGA</v>
          </cell>
          <cell r="F763" t="str">
            <v>Society for Family Health</v>
          </cell>
        </row>
        <row r="764">
          <cell r="B764" t="str">
            <v>NGA-506-G06-T</v>
          </cell>
          <cell r="C764" t="str">
            <v>Financial Closure</v>
          </cell>
          <cell r="D764" t="str">
            <v>High Impact Africa 1</v>
          </cell>
          <cell r="E764" t="str">
            <v>NGA</v>
          </cell>
          <cell r="F764" t="str">
            <v>Christian Health Association of Nigeria</v>
          </cell>
        </row>
        <row r="765">
          <cell r="B765" t="str">
            <v>NGA-506-G07-H</v>
          </cell>
          <cell r="C765" t="str">
            <v>Administratively Closed</v>
          </cell>
          <cell r="D765" t="str">
            <v>High Impact Africa 1</v>
          </cell>
          <cell r="E765" t="str">
            <v>NGA</v>
          </cell>
          <cell r="F765" t="str">
            <v>National Agency for Control of AIDS</v>
          </cell>
        </row>
        <row r="766">
          <cell r="B766" t="str">
            <v>NGA-506-G08-H</v>
          </cell>
          <cell r="C766" t="str">
            <v>Administratively Closed</v>
          </cell>
          <cell r="D766" t="str">
            <v>High Impact Africa 1</v>
          </cell>
          <cell r="E766" t="str">
            <v>NGA</v>
          </cell>
          <cell r="F766" t="str">
            <v>Society for Family Health</v>
          </cell>
        </row>
        <row r="767">
          <cell r="B767" t="str">
            <v>NGA-506-G09-H</v>
          </cell>
          <cell r="C767" t="str">
            <v>Administratively Closed</v>
          </cell>
          <cell r="D767" t="str">
            <v>High Impact Africa 1</v>
          </cell>
          <cell r="E767" t="str">
            <v>NGA</v>
          </cell>
          <cell r="F767" t="str">
            <v>Association For Reproductive And Family Health (ARFH)</v>
          </cell>
        </row>
        <row r="768">
          <cell r="B768" t="str">
            <v>NGA-509-G15-T</v>
          </cell>
          <cell r="C768" t="str">
            <v>Administratively Closed</v>
          </cell>
          <cell r="D768" t="str">
            <v>High Impact Africa 1</v>
          </cell>
          <cell r="E768" t="str">
            <v>NGA</v>
          </cell>
          <cell r="F768" t="str">
            <v>Association For Reproductive And Family Health (ARFH)</v>
          </cell>
        </row>
        <row r="769">
          <cell r="B769" t="str">
            <v>NGA-809-G11-M</v>
          </cell>
          <cell r="C769" t="str">
            <v>Active</v>
          </cell>
          <cell r="D769" t="str">
            <v>High Impact Africa 1</v>
          </cell>
          <cell r="E769" t="str">
            <v>NGA</v>
          </cell>
          <cell r="F769" t="str">
            <v>Society for Family Health</v>
          </cell>
        </row>
        <row r="770">
          <cell r="B770" t="str">
            <v>NGA-809-G12-S</v>
          </cell>
          <cell r="C770" t="str">
            <v>Administratively Closed</v>
          </cell>
          <cell r="D770" t="str">
            <v>High Impact Africa 1</v>
          </cell>
          <cell r="E770" t="str">
            <v>NGA</v>
          </cell>
          <cell r="F770" t="str">
            <v>National Agency for Control of AIDS</v>
          </cell>
        </row>
        <row r="771">
          <cell r="B771" t="str">
            <v>NGA-809-G13-M</v>
          </cell>
          <cell r="C771" t="str">
            <v>Financial Closure</v>
          </cell>
          <cell r="D771" t="str">
            <v>High Impact Africa 1</v>
          </cell>
          <cell r="E771" t="str">
            <v>NGA</v>
          </cell>
          <cell r="F771" t="str">
            <v>Yakubu Gowon Center for National Unity and International Cooperation</v>
          </cell>
        </row>
        <row r="772">
          <cell r="B772" t="str">
            <v>NGA-809-G14-M</v>
          </cell>
          <cell r="C772" t="str">
            <v>Active</v>
          </cell>
          <cell r="D772" t="str">
            <v>High Impact Africa 1</v>
          </cell>
          <cell r="E772" t="str">
            <v>NGA</v>
          </cell>
          <cell r="F772" t="str">
            <v>National Malaria Control Programme, Ministry of Health of Nigeria</v>
          </cell>
        </row>
        <row r="773">
          <cell r="B773" t="str">
            <v>NGA-H-ARFH</v>
          </cell>
          <cell r="C773" t="str">
            <v>Active</v>
          </cell>
          <cell r="D773" t="str">
            <v>High Impact Africa 1</v>
          </cell>
          <cell r="E773" t="str">
            <v>NGA</v>
          </cell>
          <cell r="F773" t="str">
            <v>Association For Reproductive And Family Health (ARFH)</v>
          </cell>
        </row>
        <row r="774">
          <cell r="B774" t="str">
            <v>NGA-H-CiSHAN</v>
          </cell>
          <cell r="C774" t="str">
            <v>Financial Closure</v>
          </cell>
          <cell r="D774" t="str">
            <v>High Impact Africa 1</v>
          </cell>
          <cell r="E774" t="str">
            <v>NGA</v>
          </cell>
          <cell r="F774" t="str">
            <v>Civil Society for HIV/AIDS in Nigeria</v>
          </cell>
        </row>
        <row r="775">
          <cell r="B775" t="str">
            <v>NGA-H-NACA</v>
          </cell>
          <cell r="C775" t="str">
            <v>Active</v>
          </cell>
          <cell r="D775" t="str">
            <v>High Impact Africa 1</v>
          </cell>
          <cell r="E775" t="str">
            <v>NGA</v>
          </cell>
          <cell r="F775" t="str">
            <v>National Agency for Control of AIDS</v>
          </cell>
        </row>
        <row r="776">
          <cell r="B776" t="str">
            <v>NGA-H-PPF</v>
          </cell>
          <cell r="C776" t="str">
            <v>Administratively Closed</v>
          </cell>
          <cell r="D776" t="str">
            <v>High Impact Africa 1</v>
          </cell>
          <cell r="E776" t="str">
            <v>NGA</v>
          </cell>
          <cell r="F776" t="str">
            <v>Planned Parenthood Federation of Nigeria</v>
          </cell>
        </row>
        <row r="777">
          <cell r="B777" t="str">
            <v>NGA-H-SFHNG</v>
          </cell>
          <cell r="C777" t="str">
            <v>Active</v>
          </cell>
          <cell r="D777" t="str">
            <v>High Impact Africa 1</v>
          </cell>
          <cell r="E777" t="str">
            <v>NGA</v>
          </cell>
          <cell r="F777" t="str">
            <v>Society for Family Health</v>
          </cell>
        </row>
        <row r="778">
          <cell r="B778" t="str">
            <v>NGA-M-NMEP</v>
          </cell>
          <cell r="C778" t="str">
            <v>Active</v>
          </cell>
          <cell r="D778" t="str">
            <v>High Impact Africa 1</v>
          </cell>
          <cell r="E778" t="str">
            <v>NGA</v>
          </cell>
          <cell r="F778" t="str">
            <v>National Malaria Control Programme, Ministry of Health of Nigeria</v>
          </cell>
        </row>
        <row r="779">
          <cell r="B779" t="str">
            <v>NGA-M-SFH</v>
          </cell>
          <cell r="C779" t="str">
            <v>Active</v>
          </cell>
          <cell r="D779" t="str">
            <v>High Impact Africa 1</v>
          </cell>
          <cell r="E779" t="str">
            <v>NGA</v>
          </cell>
          <cell r="F779" t="str">
            <v>Society for Family Health</v>
          </cell>
        </row>
        <row r="780">
          <cell r="B780" t="str">
            <v>NGA-T-ARFH</v>
          </cell>
          <cell r="C780" t="str">
            <v>Active</v>
          </cell>
          <cell r="D780" t="str">
            <v>High Impact Africa 1</v>
          </cell>
          <cell r="E780" t="str">
            <v>NGA</v>
          </cell>
          <cell r="F780" t="str">
            <v>Association For Reproductive And Family Health (ARFH)</v>
          </cell>
        </row>
        <row r="781">
          <cell r="B781" t="str">
            <v>NGA-T-IHVN</v>
          </cell>
          <cell r="C781" t="str">
            <v>Active</v>
          </cell>
          <cell r="D781" t="str">
            <v>High Impact Africa 1</v>
          </cell>
          <cell r="E781" t="str">
            <v>NGA</v>
          </cell>
          <cell r="F781" t="str">
            <v>Institute of Human Virology Nigeria</v>
          </cell>
        </row>
        <row r="782">
          <cell r="B782" t="str">
            <v>Not Defined</v>
          </cell>
          <cell r="C782" t="str">
            <v>N.D.</v>
          </cell>
          <cell r="D782" t="str">
            <v>Not Defined</v>
          </cell>
          <cell r="F782" t="str">
            <v>Not Defined</v>
          </cell>
        </row>
        <row r="783">
          <cell r="B783" t="str">
            <v>PAK-M-DOMC</v>
          </cell>
          <cell r="C783" t="str">
            <v>N.D.</v>
          </cell>
          <cell r="D783" t="str">
            <v>High Impact Asia</v>
          </cell>
          <cell r="E783" t="str">
            <v>PAK</v>
          </cell>
          <cell r="F783" t="str">
            <v>Not Defined</v>
          </cell>
        </row>
        <row r="784">
          <cell r="B784" t="str">
            <v>PAK-M-SC</v>
          </cell>
          <cell r="C784" t="str">
            <v>N.D.</v>
          </cell>
          <cell r="D784" t="str">
            <v>High Impact Asia</v>
          </cell>
          <cell r="E784" t="str">
            <v>PAK</v>
          </cell>
          <cell r="F784" t="str">
            <v>Not Defined</v>
          </cell>
        </row>
        <row r="785">
          <cell r="B785" t="str">
            <v>PKS-202-G01-H-00</v>
          </cell>
          <cell r="C785" t="str">
            <v>Financial Closure</v>
          </cell>
          <cell r="D785" t="str">
            <v>High Impact Asia</v>
          </cell>
          <cell r="E785" t="str">
            <v>PAK</v>
          </cell>
          <cell r="F785" t="str">
            <v>National AIDS Control Programme, Ministry of Inter-Provincial Coordination</v>
          </cell>
        </row>
        <row r="786">
          <cell r="B786" t="str">
            <v>PKS-202-G02-M-00</v>
          </cell>
          <cell r="C786" t="str">
            <v>Financial Closure</v>
          </cell>
          <cell r="D786" t="str">
            <v>High Impact Asia</v>
          </cell>
          <cell r="E786" t="str">
            <v>PAK</v>
          </cell>
          <cell r="F786" t="str">
            <v>National AIDS Control Programme, Ministry of Inter-Provincial Coordination</v>
          </cell>
        </row>
        <row r="787">
          <cell r="B787" t="str">
            <v>PKS-202-G03-T-00</v>
          </cell>
          <cell r="C787" t="str">
            <v>Financial Closure</v>
          </cell>
          <cell r="D787" t="str">
            <v>High Impact Asia</v>
          </cell>
          <cell r="E787" t="str">
            <v>PAK</v>
          </cell>
          <cell r="F787" t="str">
            <v>National AIDS Control Programme, Ministry of Inter-Provincial Coordination</v>
          </cell>
        </row>
        <row r="788">
          <cell r="B788" t="str">
            <v>PKS-304-G04-M</v>
          </cell>
          <cell r="C788" t="str">
            <v>Financial Closure</v>
          </cell>
          <cell r="D788" t="str">
            <v>High Impact Asia</v>
          </cell>
          <cell r="E788" t="str">
            <v>PAK</v>
          </cell>
          <cell r="F788" t="str">
            <v>National AIDS Control Programme, Ministry of Inter-Provincial Coordination</v>
          </cell>
        </row>
        <row r="789">
          <cell r="B789" t="str">
            <v>PKS-304-G05-T</v>
          </cell>
          <cell r="C789" t="str">
            <v>Financial Closure</v>
          </cell>
          <cell r="D789" t="str">
            <v>High Impact Asia</v>
          </cell>
          <cell r="E789" t="str">
            <v>PAK</v>
          </cell>
          <cell r="F789" t="str">
            <v>National AIDS Control Programme, Ministry of Inter-Provincial Coordination</v>
          </cell>
        </row>
        <row r="790">
          <cell r="B790" t="str">
            <v>PKS-607-G06-T</v>
          </cell>
          <cell r="C790" t="str">
            <v>Administratively Closed</v>
          </cell>
          <cell r="D790" t="str">
            <v>High Impact Asia</v>
          </cell>
          <cell r="E790" t="str">
            <v>PAK</v>
          </cell>
          <cell r="F790" t="str">
            <v>Mercy Corps</v>
          </cell>
        </row>
        <row r="791">
          <cell r="B791" t="str">
            <v>PKS-607-G07-T</v>
          </cell>
          <cell r="C791" t="str">
            <v>Administratively Closed</v>
          </cell>
          <cell r="D791" t="str">
            <v>High Impact Asia</v>
          </cell>
          <cell r="E791" t="str">
            <v>PAK</v>
          </cell>
          <cell r="F791" t="str">
            <v>National TB Control Programme Pakistan</v>
          </cell>
        </row>
        <row r="792">
          <cell r="B792" t="str">
            <v>PKS-708-G08-M</v>
          </cell>
          <cell r="C792" t="str">
            <v>Administratively Closed</v>
          </cell>
          <cell r="D792" t="str">
            <v>High Impact Asia</v>
          </cell>
          <cell r="E792" t="str">
            <v>PAK</v>
          </cell>
          <cell r="F792" t="str">
            <v>Directorate of Malaria Control, Ministry of Inter-Provincial Coordination, Pakistan</v>
          </cell>
        </row>
        <row r="793">
          <cell r="B793" t="str">
            <v>PKS-809-G09-T</v>
          </cell>
          <cell r="C793" t="str">
            <v>Administratively Closed</v>
          </cell>
          <cell r="D793" t="str">
            <v>High Impact Asia</v>
          </cell>
          <cell r="E793" t="str">
            <v>PAK</v>
          </cell>
          <cell r="F793" t="str">
            <v>National TB Control Programme Pakistan</v>
          </cell>
        </row>
        <row r="794">
          <cell r="B794" t="str">
            <v>PKS-809-G10-T</v>
          </cell>
          <cell r="C794" t="str">
            <v>Active</v>
          </cell>
          <cell r="D794" t="str">
            <v>High Impact Asia</v>
          </cell>
          <cell r="E794" t="str">
            <v>PAK</v>
          </cell>
          <cell r="F794" t="str">
            <v>Green Star Social Marketing Pakistan (Guarantee) Limited</v>
          </cell>
        </row>
        <row r="795">
          <cell r="B795" t="str">
            <v>PKS-910-G11-T</v>
          </cell>
          <cell r="C795" t="str">
            <v>Administratively Closed</v>
          </cell>
          <cell r="D795" t="str">
            <v>High Impact Asia</v>
          </cell>
          <cell r="E795" t="str">
            <v>PAK</v>
          </cell>
          <cell r="F795" t="str">
            <v>National TB Control Programme Pakistan</v>
          </cell>
        </row>
        <row r="796">
          <cell r="B796" t="str">
            <v>PKS-910-G12-T</v>
          </cell>
          <cell r="C796" t="str">
            <v>Administratively Closed</v>
          </cell>
          <cell r="D796" t="str">
            <v>High Impact Asia</v>
          </cell>
          <cell r="E796" t="str">
            <v>PAK</v>
          </cell>
          <cell r="F796" t="str">
            <v>Mercy Corps</v>
          </cell>
        </row>
        <row r="797">
          <cell r="B797" t="str">
            <v>PKS-911-G13-H</v>
          </cell>
          <cell r="C797" t="str">
            <v>Administratively Closed</v>
          </cell>
          <cell r="D797" t="str">
            <v>High Impact Asia</v>
          </cell>
          <cell r="E797" t="str">
            <v>PAK</v>
          </cell>
          <cell r="F797" t="str">
            <v>National AIDS Control Programme, Ministry of Inter-Provincial Coordination</v>
          </cell>
        </row>
        <row r="798">
          <cell r="B798" t="str">
            <v>PKS-911-G14-H</v>
          </cell>
          <cell r="C798" t="str">
            <v>Administratively Closed</v>
          </cell>
          <cell r="D798" t="str">
            <v>High Impact Asia</v>
          </cell>
          <cell r="E798" t="str">
            <v>PAK</v>
          </cell>
          <cell r="F798" t="str">
            <v>Nai Zindagi Trust</v>
          </cell>
        </row>
        <row r="799">
          <cell r="B799" t="str">
            <v>PKS-H-NACP</v>
          </cell>
          <cell r="C799" t="str">
            <v>Active</v>
          </cell>
          <cell r="D799" t="str">
            <v>High Impact Asia</v>
          </cell>
          <cell r="E799" t="str">
            <v>PAK</v>
          </cell>
          <cell r="F799" t="str">
            <v>National AIDS Control Programme, Ministry of Inter-Provincial Coordination</v>
          </cell>
        </row>
        <row r="800">
          <cell r="B800" t="str">
            <v>PKS-H-NZ</v>
          </cell>
          <cell r="C800" t="str">
            <v>Active</v>
          </cell>
          <cell r="D800" t="str">
            <v>High Impact Asia</v>
          </cell>
          <cell r="E800" t="str">
            <v>PAK</v>
          </cell>
          <cell r="F800" t="str">
            <v>Nai Zindagi Trust</v>
          </cell>
        </row>
        <row r="801">
          <cell r="B801" t="str">
            <v>PKS-M-DOMC</v>
          </cell>
          <cell r="C801" t="str">
            <v>Active</v>
          </cell>
          <cell r="D801" t="str">
            <v>High Impact Asia</v>
          </cell>
          <cell r="E801" t="str">
            <v>PAK</v>
          </cell>
          <cell r="F801" t="str">
            <v>Directorate of Malaria Control, Ministry of Inter-Provincial Coordination, Pakistan</v>
          </cell>
        </row>
        <row r="802">
          <cell r="B802" t="str">
            <v>PKS-M-SC</v>
          </cell>
          <cell r="C802" t="str">
            <v>Active</v>
          </cell>
          <cell r="D802" t="str">
            <v>High Impact Asia</v>
          </cell>
          <cell r="E802" t="str">
            <v>PAK</v>
          </cell>
          <cell r="F802" t="str">
            <v>Save the Children, Pakistan</v>
          </cell>
        </row>
        <row r="803">
          <cell r="B803" t="str">
            <v>PKS-T-MC</v>
          </cell>
          <cell r="C803" t="str">
            <v>Active</v>
          </cell>
          <cell r="D803" t="str">
            <v>High Impact Asia</v>
          </cell>
          <cell r="E803" t="str">
            <v>PAK</v>
          </cell>
          <cell r="F803" t="str">
            <v>Mercy Corps</v>
          </cell>
        </row>
        <row r="804">
          <cell r="B804" t="str">
            <v>PKS-T-NTP</v>
          </cell>
          <cell r="C804" t="str">
            <v>Active</v>
          </cell>
          <cell r="D804" t="str">
            <v>High Impact Asia</v>
          </cell>
          <cell r="E804" t="str">
            <v>PAK</v>
          </cell>
          <cell r="F804" t="str">
            <v>National TB Control Programme Pakistan</v>
          </cell>
        </row>
        <row r="805">
          <cell r="B805" t="str">
            <v>PSE-708-G01-H</v>
          </cell>
          <cell r="C805" t="str">
            <v>Active</v>
          </cell>
          <cell r="D805" t="str">
            <v>Middle East and North Africa</v>
          </cell>
          <cell r="E805" t="str">
            <v>PSE</v>
          </cell>
          <cell r="F805" t="str">
            <v>United Nations Development Programme, Palestine</v>
          </cell>
        </row>
        <row r="806">
          <cell r="B806" t="str">
            <v>PSE-809-G02-T</v>
          </cell>
          <cell r="C806" t="str">
            <v>Active</v>
          </cell>
          <cell r="D806" t="str">
            <v>Middle East and North Africa</v>
          </cell>
          <cell r="E806" t="str">
            <v>PSE</v>
          </cell>
          <cell r="F806" t="str">
            <v>United Nations Development Programme, Palestine</v>
          </cell>
        </row>
        <row r="807">
          <cell r="B807" t="str">
            <v>PAN-102-G01-T-00</v>
          </cell>
          <cell r="C807" t="str">
            <v>Administratively Closed</v>
          </cell>
          <cell r="D807" t="str">
            <v>Latin America and Caribbean</v>
          </cell>
          <cell r="E807" t="str">
            <v>PAN</v>
          </cell>
          <cell r="F807" t="str">
            <v>United Nations Development Programme, Panama</v>
          </cell>
        </row>
        <row r="808">
          <cell r="B808" t="str">
            <v>PAN-H-CAI</v>
          </cell>
          <cell r="C808" t="str">
            <v>Active</v>
          </cell>
          <cell r="D808" t="str">
            <v>Latin America and Caribbean</v>
          </cell>
          <cell r="E808" t="str">
            <v>PAN</v>
          </cell>
          <cell r="F808" t="str">
            <v>Cicatelli Associates</v>
          </cell>
        </row>
        <row r="809">
          <cell r="B809" t="str">
            <v>PNG-012-G09-H</v>
          </cell>
          <cell r="C809" t="str">
            <v>Active</v>
          </cell>
          <cell r="D809" t="str">
            <v>South East Asia</v>
          </cell>
          <cell r="E809" t="str">
            <v>PNG</v>
          </cell>
          <cell r="F809" t="str">
            <v>Oil Search Health Foundation</v>
          </cell>
        </row>
        <row r="810">
          <cell r="B810" t="str">
            <v>PNG-304-G01-M</v>
          </cell>
          <cell r="C810" t="str">
            <v>Financial Closure</v>
          </cell>
          <cell r="D810" t="str">
            <v>South East Asia</v>
          </cell>
          <cell r="E810" t="str">
            <v>PNG</v>
          </cell>
          <cell r="F810" t="str">
            <v>Department of Health of Papua New Guinea</v>
          </cell>
        </row>
        <row r="811">
          <cell r="B811" t="str">
            <v>PNG-405-G02-H</v>
          </cell>
          <cell r="C811" t="str">
            <v>Financial Closure</v>
          </cell>
          <cell r="D811" t="str">
            <v>South East Asia</v>
          </cell>
          <cell r="E811" t="str">
            <v>PNG</v>
          </cell>
          <cell r="F811" t="str">
            <v>Department of Health of Papua New Guinea</v>
          </cell>
        </row>
        <row r="812">
          <cell r="B812" t="str">
            <v>PNG-607-G03-T</v>
          </cell>
          <cell r="C812" t="str">
            <v>Financial Closure</v>
          </cell>
          <cell r="D812" t="str">
            <v>South East Asia</v>
          </cell>
          <cell r="E812" t="str">
            <v>PNG</v>
          </cell>
          <cell r="F812" t="str">
            <v>Department of Health of Papua New Guinea</v>
          </cell>
        </row>
        <row r="813">
          <cell r="B813" t="str">
            <v>PNG-612-G07-T</v>
          </cell>
          <cell r="C813" t="str">
            <v>Active</v>
          </cell>
          <cell r="D813" t="str">
            <v>South East Asia</v>
          </cell>
          <cell r="E813" t="str">
            <v>PNG</v>
          </cell>
          <cell r="F813" t="str">
            <v>World Vision Papua New Guinea / USA</v>
          </cell>
        </row>
        <row r="814">
          <cell r="B814" t="str">
            <v>PNG-809-G04-M</v>
          </cell>
          <cell r="C814" t="str">
            <v>Financial Closure</v>
          </cell>
          <cell r="D814" t="str">
            <v>South East Asia</v>
          </cell>
          <cell r="E814" t="str">
            <v>PNG</v>
          </cell>
          <cell r="F814" t="str">
            <v>Department of Health of Papua New Guinea</v>
          </cell>
        </row>
        <row r="815">
          <cell r="B815" t="str">
            <v>PNG-809-G05-M</v>
          </cell>
          <cell r="C815" t="str">
            <v>Active</v>
          </cell>
          <cell r="D815" t="str">
            <v>South East Asia</v>
          </cell>
          <cell r="E815" t="str">
            <v>PNG</v>
          </cell>
          <cell r="F815" t="str">
            <v>Population Services International, Papua New Guinea</v>
          </cell>
        </row>
        <row r="816">
          <cell r="B816" t="str">
            <v>PNG-809-G06-M</v>
          </cell>
          <cell r="C816" t="str">
            <v>Active</v>
          </cell>
          <cell r="D816" t="str">
            <v>South East Asia</v>
          </cell>
          <cell r="E816" t="str">
            <v>PNG</v>
          </cell>
          <cell r="F816" t="str">
            <v>Rotarians Against Malaria - Rotary Club of Port Moresby</v>
          </cell>
        </row>
        <row r="817">
          <cell r="B817" t="str">
            <v>PNG-812-G08-M</v>
          </cell>
          <cell r="C817" t="str">
            <v>Active</v>
          </cell>
          <cell r="D817" t="str">
            <v>South East Asia</v>
          </cell>
          <cell r="E817" t="str">
            <v>PNG</v>
          </cell>
          <cell r="F817" t="str">
            <v>Oil Search Health Foundation</v>
          </cell>
        </row>
        <row r="818">
          <cell r="B818" t="str">
            <v>PNG-M-PSI</v>
          </cell>
          <cell r="C818" t="str">
            <v>Active</v>
          </cell>
          <cell r="D818" t="str">
            <v>South East Asia</v>
          </cell>
          <cell r="E818" t="str">
            <v>PNG</v>
          </cell>
          <cell r="F818" t="str">
            <v>Population Services International, Papua New Guinea</v>
          </cell>
        </row>
        <row r="819">
          <cell r="B819" t="str">
            <v>PNG-M-RAM</v>
          </cell>
          <cell r="C819" t="str">
            <v>Active</v>
          </cell>
          <cell r="D819" t="str">
            <v>South East Asia</v>
          </cell>
          <cell r="E819" t="str">
            <v>PNG</v>
          </cell>
          <cell r="F819" t="str">
            <v>Rotarians Against Malaria - Rotary Club of Port Moresby</v>
          </cell>
        </row>
        <row r="820">
          <cell r="B820" t="str">
            <v>PNG-T-WVI</v>
          </cell>
          <cell r="C820" t="str">
            <v>Active</v>
          </cell>
          <cell r="D820" t="str">
            <v>South East Asia</v>
          </cell>
          <cell r="E820" t="str">
            <v>PNG</v>
          </cell>
          <cell r="F820" t="str">
            <v>World Vision Papua New Guinea / USA</v>
          </cell>
        </row>
        <row r="821">
          <cell r="B821" t="str">
            <v>PRY-304-G01-T</v>
          </cell>
          <cell r="C821" t="str">
            <v>Administratively Closed</v>
          </cell>
          <cell r="D821" t="str">
            <v>Latin America and Caribbean</v>
          </cell>
          <cell r="E821" t="str">
            <v>PRY</v>
          </cell>
          <cell r="F821" t="str">
            <v>Alter Vida - Centro de Estudios y Formación para el Ecodesarrollo</v>
          </cell>
        </row>
        <row r="822">
          <cell r="B822" t="str">
            <v>PRY-607-G02-H</v>
          </cell>
          <cell r="C822" t="str">
            <v>Administratively Closed</v>
          </cell>
          <cell r="D822" t="str">
            <v>Latin America and Caribbean</v>
          </cell>
          <cell r="E822" t="str">
            <v>PRY</v>
          </cell>
          <cell r="F822" t="str">
            <v>Fundación Comunitaria Centro de Información y Recursos para el Desarrollo</v>
          </cell>
        </row>
        <row r="823">
          <cell r="B823" t="str">
            <v>PRY-708-G03-T</v>
          </cell>
          <cell r="C823" t="str">
            <v>Administratively Closed</v>
          </cell>
          <cell r="D823" t="str">
            <v>Latin America and Caribbean</v>
          </cell>
          <cell r="E823" t="str">
            <v>PRY</v>
          </cell>
          <cell r="F823" t="str">
            <v>Alter Vida - Centro de Estudios y Formación para el Ecodesarrollo</v>
          </cell>
        </row>
        <row r="824">
          <cell r="B824" t="str">
            <v>PRY-809-G04-H</v>
          </cell>
          <cell r="C824" t="str">
            <v>Active</v>
          </cell>
          <cell r="D824" t="str">
            <v>Latin America and Caribbean</v>
          </cell>
          <cell r="E824" t="str">
            <v>PRY</v>
          </cell>
          <cell r="F824" t="str">
            <v>Fundación Comunitaria Centro de Información y Recursos para el Desarrollo</v>
          </cell>
        </row>
        <row r="825">
          <cell r="B825" t="str">
            <v>PRY-910-G06-S</v>
          </cell>
          <cell r="C825" t="str">
            <v>Active</v>
          </cell>
          <cell r="D825" t="str">
            <v>Latin America and Caribbean</v>
          </cell>
          <cell r="E825" t="str">
            <v>PRY</v>
          </cell>
          <cell r="F825" t="str">
            <v>Fundación Comunitaria Centro de Información y Recursos para el Desarrollo</v>
          </cell>
        </row>
        <row r="826">
          <cell r="B826" t="str">
            <v>PRY-H-CIRD</v>
          </cell>
          <cell r="C826" t="str">
            <v>N.D.</v>
          </cell>
          <cell r="D826" t="str">
            <v>Latin America and Caribbean</v>
          </cell>
          <cell r="E826" t="str">
            <v>PRY</v>
          </cell>
          <cell r="F826" t="str">
            <v>Not Defined</v>
          </cell>
        </row>
        <row r="827">
          <cell r="B827" t="str">
            <v>PRY-T-AV</v>
          </cell>
          <cell r="C827" t="str">
            <v>Active</v>
          </cell>
          <cell r="D827" t="str">
            <v>Latin America and Caribbean</v>
          </cell>
          <cell r="E827" t="str">
            <v>PRY</v>
          </cell>
          <cell r="F827" t="str">
            <v>Alter Vida - Centro de Estudios y Formación para el Ecodesarrollo</v>
          </cell>
        </row>
        <row r="828">
          <cell r="B828" t="str">
            <v>PER-011-G08-H</v>
          </cell>
          <cell r="C828" t="str">
            <v>Financial Closure</v>
          </cell>
          <cell r="D828" t="str">
            <v>Latin America and Caribbean</v>
          </cell>
          <cell r="E828" t="str">
            <v>PER</v>
          </cell>
          <cell r="F828" t="str">
            <v>Instituto Peruano de Paternidad</v>
          </cell>
        </row>
        <row r="829">
          <cell r="B829" t="str">
            <v>PER-202-G01-H-00</v>
          </cell>
          <cell r="C829" t="str">
            <v>Administratively Closed</v>
          </cell>
          <cell r="D829" t="str">
            <v>Latin America and Caribbean</v>
          </cell>
          <cell r="E829" t="str">
            <v>PER</v>
          </cell>
          <cell r="F829" t="str">
            <v>CARE Peru</v>
          </cell>
        </row>
        <row r="830">
          <cell r="B830" t="str">
            <v>PER-202-G02-T-00</v>
          </cell>
          <cell r="C830" t="str">
            <v>Administratively Closed</v>
          </cell>
          <cell r="D830" t="str">
            <v>Latin America and Caribbean</v>
          </cell>
          <cell r="E830" t="str">
            <v>PER</v>
          </cell>
          <cell r="F830" t="str">
            <v>CARE Peru</v>
          </cell>
        </row>
        <row r="831">
          <cell r="B831" t="str">
            <v>PER-506-G03-H</v>
          </cell>
          <cell r="C831" t="str">
            <v>Administratively Closed</v>
          </cell>
          <cell r="D831" t="str">
            <v>Latin America and Caribbean</v>
          </cell>
          <cell r="E831" t="str">
            <v>PER</v>
          </cell>
          <cell r="F831" t="str">
            <v>CARE Peru</v>
          </cell>
        </row>
        <row r="832">
          <cell r="B832" t="str">
            <v>PER-506-G04-T</v>
          </cell>
          <cell r="C832" t="str">
            <v>Administratively Closed</v>
          </cell>
          <cell r="D832" t="str">
            <v>Latin America and Caribbean</v>
          </cell>
          <cell r="E832" t="str">
            <v>PER</v>
          </cell>
          <cell r="F832" t="str">
            <v>CARE Peru</v>
          </cell>
        </row>
        <row r="833">
          <cell r="B833" t="str">
            <v>PER-607-G05-H</v>
          </cell>
          <cell r="C833" t="str">
            <v>Financial Closure</v>
          </cell>
          <cell r="D833" t="str">
            <v>Latin America and Caribbean</v>
          </cell>
          <cell r="E833" t="str">
            <v>PER</v>
          </cell>
          <cell r="F833" t="str">
            <v>CARE Peru</v>
          </cell>
        </row>
        <row r="834">
          <cell r="B834" t="str">
            <v>PER-809-G06-T</v>
          </cell>
          <cell r="C834" t="str">
            <v>Active</v>
          </cell>
          <cell r="D834" t="str">
            <v>Latin America and Caribbean</v>
          </cell>
          <cell r="E834" t="str">
            <v>PER</v>
          </cell>
          <cell r="F834" t="str">
            <v>Pathfinder International</v>
          </cell>
        </row>
        <row r="835">
          <cell r="B835" t="str">
            <v>PER-809-G07-T</v>
          </cell>
          <cell r="C835" t="str">
            <v>Active</v>
          </cell>
          <cell r="D835" t="str">
            <v>Latin America and Caribbean</v>
          </cell>
          <cell r="E835" t="str">
            <v>PER</v>
          </cell>
          <cell r="F835" t="str">
            <v>Ministry of Health (PARSALUD)</v>
          </cell>
        </row>
        <row r="836">
          <cell r="B836" t="str">
            <v>PER-H-PARSALU</v>
          </cell>
          <cell r="C836" t="str">
            <v>Active</v>
          </cell>
          <cell r="D836" t="str">
            <v>Latin America and Caribbean</v>
          </cell>
          <cell r="E836" t="str">
            <v>PER</v>
          </cell>
          <cell r="F836" t="str">
            <v>Ministry of Health (PARSALUD)</v>
          </cell>
        </row>
        <row r="837">
          <cell r="B837" t="str">
            <v>PHL-202-G01-M-00</v>
          </cell>
          <cell r="C837" t="str">
            <v>Administratively Closed</v>
          </cell>
          <cell r="D837" t="str">
            <v>High Impact Asia</v>
          </cell>
          <cell r="E837" t="str">
            <v>PHL</v>
          </cell>
          <cell r="F837" t="str">
            <v>Tropical Disease Foundation Inc.</v>
          </cell>
        </row>
        <row r="838">
          <cell r="B838" t="str">
            <v>PHL-202-G02-T-00</v>
          </cell>
          <cell r="C838" t="str">
            <v>Administratively Closed</v>
          </cell>
          <cell r="D838" t="str">
            <v>High Impact Asia</v>
          </cell>
          <cell r="E838" t="str">
            <v>PHL</v>
          </cell>
          <cell r="F838" t="str">
            <v>Tropical Disease Foundation Inc.</v>
          </cell>
        </row>
        <row r="839">
          <cell r="B839" t="str">
            <v>PHL-202-G09-M</v>
          </cell>
          <cell r="C839" t="str">
            <v>Active</v>
          </cell>
          <cell r="D839" t="str">
            <v>High Impact Asia</v>
          </cell>
          <cell r="E839" t="str">
            <v>PHL</v>
          </cell>
          <cell r="F839" t="str">
            <v>Pilipinas Shell Foundation Inc.</v>
          </cell>
        </row>
        <row r="840">
          <cell r="B840" t="str">
            <v>PHL-210-G11-T</v>
          </cell>
          <cell r="C840" t="str">
            <v>Administratively Closed</v>
          </cell>
          <cell r="D840" t="str">
            <v>High Impact Asia</v>
          </cell>
          <cell r="E840" t="str">
            <v>PHL</v>
          </cell>
          <cell r="F840" t="str">
            <v>Philippine Business for Social Progress</v>
          </cell>
        </row>
        <row r="841">
          <cell r="B841" t="str">
            <v>PHL-304-G03-H</v>
          </cell>
          <cell r="C841" t="str">
            <v>Administratively Closed</v>
          </cell>
          <cell r="D841" t="str">
            <v>High Impact Asia</v>
          </cell>
          <cell r="E841" t="str">
            <v>PHL</v>
          </cell>
          <cell r="F841" t="str">
            <v>Tropical Disease Foundation Inc.</v>
          </cell>
        </row>
        <row r="842">
          <cell r="B842" t="str">
            <v>PHL-506-G04-H</v>
          </cell>
          <cell r="C842" t="str">
            <v>Administratively Closed</v>
          </cell>
          <cell r="D842" t="str">
            <v>High Impact Asia</v>
          </cell>
          <cell r="E842" t="str">
            <v>PHL</v>
          </cell>
          <cell r="F842" t="str">
            <v>Tropical Disease Foundation Inc.</v>
          </cell>
        </row>
        <row r="843">
          <cell r="B843" t="str">
            <v>PHL-506-G05-M</v>
          </cell>
          <cell r="C843" t="str">
            <v>Administratively Closed</v>
          </cell>
          <cell r="D843" t="str">
            <v>High Impact Asia</v>
          </cell>
          <cell r="E843" t="str">
            <v>PHL</v>
          </cell>
          <cell r="F843" t="str">
            <v>Pilipinas Shell Foundation Inc.</v>
          </cell>
        </row>
        <row r="844">
          <cell r="B844" t="str">
            <v>PHL-506-G06-T</v>
          </cell>
          <cell r="C844" t="str">
            <v>Administratively Closed</v>
          </cell>
          <cell r="D844" t="str">
            <v>High Impact Asia</v>
          </cell>
          <cell r="E844" t="str">
            <v>PHL</v>
          </cell>
          <cell r="F844" t="str">
            <v>Tropical Disease Foundation Inc.</v>
          </cell>
        </row>
        <row r="845">
          <cell r="B845" t="str">
            <v>PHL-509-G10-H</v>
          </cell>
          <cell r="C845" t="str">
            <v>Administratively Closed</v>
          </cell>
          <cell r="D845" t="str">
            <v>High Impact Asia</v>
          </cell>
          <cell r="E845" t="str">
            <v>PHL</v>
          </cell>
          <cell r="F845" t="str">
            <v>Department of Health, Philippines</v>
          </cell>
        </row>
        <row r="846">
          <cell r="B846" t="str">
            <v>PHL-607-G07-M</v>
          </cell>
          <cell r="C846" t="str">
            <v>Administratively Closed</v>
          </cell>
          <cell r="D846" t="str">
            <v>High Impact Asia</v>
          </cell>
          <cell r="E846" t="str">
            <v>PHL</v>
          </cell>
          <cell r="F846" t="str">
            <v>Tropical Disease Foundation Inc.</v>
          </cell>
        </row>
        <row r="847">
          <cell r="B847" t="str">
            <v>PHL-607-G08-H</v>
          </cell>
          <cell r="C847" t="str">
            <v>Active</v>
          </cell>
          <cell r="D847" t="str">
            <v>High Impact Asia</v>
          </cell>
          <cell r="E847" t="str">
            <v>PHL</v>
          </cell>
          <cell r="F847" t="str">
            <v>Department of Health, Philippines</v>
          </cell>
        </row>
        <row r="848">
          <cell r="B848" t="str">
            <v>PHL-H-SC</v>
          </cell>
          <cell r="C848" t="str">
            <v>N.D.</v>
          </cell>
          <cell r="D848" t="str">
            <v>High Impact Asia</v>
          </cell>
          <cell r="E848" t="str">
            <v>PHL</v>
          </cell>
          <cell r="F848" t="str">
            <v>Not Defined</v>
          </cell>
        </row>
        <row r="849">
          <cell r="B849" t="str">
            <v>PHL-M-PSFI</v>
          </cell>
          <cell r="C849" t="str">
            <v>Active</v>
          </cell>
          <cell r="D849" t="str">
            <v>High Impact Asia</v>
          </cell>
          <cell r="E849" t="str">
            <v>PHL</v>
          </cell>
          <cell r="F849" t="str">
            <v>Pilipinas Shell Foundation Inc.</v>
          </cell>
        </row>
        <row r="850">
          <cell r="B850" t="str">
            <v>PHL-T-PBSP</v>
          </cell>
          <cell r="C850" t="str">
            <v>Active</v>
          </cell>
          <cell r="D850" t="str">
            <v>High Impact Asia</v>
          </cell>
          <cell r="E850" t="str">
            <v>PHL</v>
          </cell>
          <cell r="F850" t="str">
            <v>Philippine Business for Social Progress</v>
          </cell>
        </row>
        <row r="851">
          <cell r="B851" t="str">
            <v>ROM-202-G01-H-00</v>
          </cell>
          <cell r="C851" t="str">
            <v>Administratively Closed</v>
          </cell>
          <cell r="D851" t="str">
            <v>Eastern Europe and Central Asia</v>
          </cell>
          <cell r="E851" t="str">
            <v>ROU</v>
          </cell>
          <cell r="F851" t="str">
            <v>Ministry of Health and Family of Romania</v>
          </cell>
        </row>
        <row r="852">
          <cell r="B852" t="str">
            <v>ROM-202-G02-T-00</v>
          </cell>
          <cell r="C852" t="str">
            <v>Administratively Closed</v>
          </cell>
          <cell r="D852" t="str">
            <v>Eastern Europe and Central Asia</v>
          </cell>
          <cell r="E852" t="str">
            <v>ROU</v>
          </cell>
          <cell r="F852" t="str">
            <v>Ministry of Health and Family of Romania</v>
          </cell>
        </row>
        <row r="853">
          <cell r="B853" t="str">
            <v>ROM-607-G03-H</v>
          </cell>
          <cell r="C853" t="str">
            <v>Administratively Closed</v>
          </cell>
          <cell r="D853" t="str">
            <v>Eastern Europe and Central Asia</v>
          </cell>
          <cell r="E853" t="str">
            <v>ROU</v>
          </cell>
          <cell r="F853" t="str">
            <v>Romanian Angel Appeal Foundation</v>
          </cell>
        </row>
        <row r="854">
          <cell r="B854" t="str">
            <v>ROM-607-G04-T</v>
          </cell>
          <cell r="C854" t="str">
            <v>Active</v>
          </cell>
          <cell r="D854" t="str">
            <v>Eastern Europe and Central Asia</v>
          </cell>
          <cell r="E854" t="str">
            <v>ROU</v>
          </cell>
          <cell r="F854" t="str">
            <v>Romanian Angel Appeal Foundation</v>
          </cell>
        </row>
        <row r="855">
          <cell r="B855" t="str">
            <v>ROU-T-RAA</v>
          </cell>
          <cell r="C855" t="str">
            <v>N.D.</v>
          </cell>
          <cell r="D855" t="str">
            <v>Eastern Europe and Central Asia</v>
          </cell>
          <cell r="E855" t="str">
            <v>ROU</v>
          </cell>
          <cell r="F855" t="str">
            <v>Not Defined</v>
          </cell>
        </row>
        <row r="856">
          <cell r="B856" t="str">
            <v>RUS-304-G01-H</v>
          </cell>
          <cell r="C856" t="str">
            <v>Active</v>
          </cell>
          <cell r="D856" t="str">
            <v>Eastern Europe and Central Asia</v>
          </cell>
          <cell r="E856" t="str">
            <v>RUS</v>
          </cell>
          <cell r="F856" t="str">
            <v>Open Health Institute</v>
          </cell>
        </row>
        <row r="857">
          <cell r="B857" t="str">
            <v>RUS-304-G02-T</v>
          </cell>
          <cell r="C857" t="str">
            <v>Financial Closure</v>
          </cell>
          <cell r="D857" t="str">
            <v>Eastern Europe and Central Asia</v>
          </cell>
          <cell r="E857" t="str">
            <v>RUS</v>
          </cell>
          <cell r="F857" t="str">
            <v>Partners In Health</v>
          </cell>
        </row>
        <row r="858">
          <cell r="B858" t="str">
            <v>RUS-405-G03-H</v>
          </cell>
          <cell r="C858" t="str">
            <v>Administratively Closed</v>
          </cell>
          <cell r="D858" t="str">
            <v>Eastern Europe and Central Asia</v>
          </cell>
          <cell r="E858" t="str">
            <v>RUS</v>
          </cell>
          <cell r="F858" t="str">
            <v>Russian Health Care Foundation</v>
          </cell>
        </row>
        <row r="859">
          <cell r="B859" t="str">
            <v>RUS-405-G04-T</v>
          </cell>
          <cell r="C859" t="str">
            <v>Financially Closed</v>
          </cell>
          <cell r="D859" t="str">
            <v>Eastern Europe and Central Asia</v>
          </cell>
          <cell r="E859" t="str">
            <v>RUS</v>
          </cell>
          <cell r="F859" t="str">
            <v>Russian Health Care Foundation</v>
          </cell>
        </row>
        <row r="860">
          <cell r="B860" t="str">
            <v>RUS-506-G05-H</v>
          </cell>
          <cell r="C860" t="str">
            <v>Active</v>
          </cell>
          <cell r="D860" t="str">
            <v>Eastern Europe and Central Asia</v>
          </cell>
          <cell r="E860" t="str">
            <v>RUS</v>
          </cell>
          <cell r="F860" t="str">
            <v>Russian Harm Reduction Network</v>
          </cell>
        </row>
        <row r="861">
          <cell r="B861" t="str">
            <v>RWA-M-MOH</v>
          </cell>
          <cell r="C861" t="str">
            <v>Active</v>
          </cell>
          <cell r="D861" t="str">
            <v>Southern and Eastern Africa</v>
          </cell>
          <cell r="E861" t="str">
            <v>RWA</v>
          </cell>
          <cell r="F861" t="str">
            <v>Ministry of Health of Rwanda</v>
          </cell>
        </row>
        <row r="862">
          <cell r="B862" t="str">
            <v>RWN-102-G01-C-00</v>
          </cell>
          <cell r="C862" t="str">
            <v>Administratively Closed</v>
          </cell>
          <cell r="D862" t="str">
            <v>Southern and Eastern Africa</v>
          </cell>
          <cell r="E862" t="str">
            <v>RWA</v>
          </cell>
          <cell r="F862" t="str">
            <v>Ministry of Health of Rwanda</v>
          </cell>
        </row>
        <row r="863">
          <cell r="B863" t="str">
            <v>RWN-304-G02-H</v>
          </cell>
          <cell r="C863" t="str">
            <v>Administratively Closed</v>
          </cell>
          <cell r="D863" t="str">
            <v>Southern and Eastern Africa</v>
          </cell>
          <cell r="E863" t="str">
            <v>RWA</v>
          </cell>
          <cell r="F863" t="str">
            <v>Comité National de la Lutte contre le SIDA, Rwanda</v>
          </cell>
        </row>
        <row r="864">
          <cell r="B864" t="str">
            <v>RWN-304-G03-M</v>
          </cell>
          <cell r="C864" t="str">
            <v>Administratively Closed</v>
          </cell>
          <cell r="D864" t="str">
            <v>Southern and Eastern Africa</v>
          </cell>
          <cell r="E864" t="str">
            <v>RWA</v>
          </cell>
          <cell r="F864" t="str">
            <v>Ministry of Health of Rwanda</v>
          </cell>
        </row>
        <row r="865">
          <cell r="B865" t="str">
            <v>RWN-404-G04-T</v>
          </cell>
          <cell r="C865" t="str">
            <v>Administratively Closed</v>
          </cell>
          <cell r="D865" t="str">
            <v>Southern and Eastern Africa</v>
          </cell>
          <cell r="E865" t="str">
            <v>RWA</v>
          </cell>
          <cell r="F865" t="str">
            <v>Ministry of Health of Rwanda</v>
          </cell>
        </row>
        <row r="866">
          <cell r="B866" t="str">
            <v>RWN-505-G05-S</v>
          </cell>
          <cell r="C866" t="str">
            <v>Administratively Closed</v>
          </cell>
          <cell r="D866" t="str">
            <v>Southern and Eastern Africa</v>
          </cell>
          <cell r="E866" t="str">
            <v>RWA</v>
          </cell>
          <cell r="F866" t="str">
            <v>Ministry of Health of Rwanda</v>
          </cell>
        </row>
        <row r="867">
          <cell r="B867" t="str">
            <v>RWN-506-G06-M</v>
          </cell>
          <cell r="C867" t="str">
            <v>Financial Closure</v>
          </cell>
          <cell r="D867" t="str">
            <v>Southern and Eastern Africa</v>
          </cell>
          <cell r="E867" t="str">
            <v>RWA</v>
          </cell>
          <cell r="F867" t="str">
            <v>Ministry of Health of Rwanda</v>
          </cell>
        </row>
        <row r="868">
          <cell r="B868" t="str">
            <v>RWN-606-G07-T</v>
          </cell>
          <cell r="C868" t="str">
            <v>Administratively Closed</v>
          </cell>
          <cell r="D868" t="str">
            <v>Southern and Eastern Africa</v>
          </cell>
          <cell r="E868" t="str">
            <v>RWA</v>
          </cell>
          <cell r="F868" t="str">
            <v>Ministry of Health of Rwanda</v>
          </cell>
        </row>
        <row r="869">
          <cell r="B869" t="str">
            <v>RWN-607-G08-H</v>
          </cell>
          <cell r="C869" t="str">
            <v>Administratively Closed</v>
          </cell>
          <cell r="D869" t="str">
            <v>Southern and Eastern Africa</v>
          </cell>
          <cell r="E869" t="str">
            <v>RWA</v>
          </cell>
          <cell r="F869" t="str">
            <v>Comité National de la Lutte contre le SIDA, Rwanda</v>
          </cell>
        </row>
        <row r="870">
          <cell r="B870" t="str">
            <v>RWN-708-G09-H</v>
          </cell>
          <cell r="C870" t="str">
            <v>Administratively Closed</v>
          </cell>
          <cell r="D870" t="str">
            <v>Southern and Eastern Africa</v>
          </cell>
          <cell r="E870" t="str">
            <v>RWA</v>
          </cell>
          <cell r="F870" t="str">
            <v>Comité National de la Lutte contre le SIDA, Rwanda</v>
          </cell>
        </row>
        <row r="871">
          <cell r="B871" t="str">
            <v>RWN-809-G10-M</v>
          </cell>
          <cell r="C871" t="str">
            <v>Administratively Closed</v>
          </cell>
          <cell r="D871" t="str">
            <v>Southern and Eastern Africa</v>
          </cell>
          <cell r="E871" t="str">
            <v>RWA</v>
          </cell>
          <cell r="F871" t="str">
            <v>Ministry of Health of Rwanda</v>
          </cell>
        </row>
        <row r="872">
          <cell r="B872" t="str">
            <v>RWN-H-MoH</v>
          </cell>
          <cell r="C872" t="str">
            <v>Active</v>
          </cell>
          <cell r="D872" t="str">
            <v>Southern and Eastern Africa</v>
          </cell>
          <cell r="E872" t="str">
            <v>RWA</v>
          </cell>
          <cell r="F872" t="str">
            <v>Ministry of Health of Rwanda</v>
          </cell>
        </row>
        <row r="873">
          <cell r="B873" t="str">
            <v>RWN-M-MoH</v>
          </cell>
          <cell r="C873" t="str">
            <v>Active</v>
          </cell>
          <cell r="D873" t="str">
            <v>Southern and Eastern Africa</v>
          </cell>
          <cell r="E873" t="str">
            <v>RWA</v>
          </cell>
          <cell r="F873" t="str">
            <v>Ministry of Health of Rwanda</v>
          </cell>
        </row>
        <row r="874">
          <cell r="B874" t="str">
            <v>RWN-T-MoH</v>
          </cell>
          <cell r="C874" t="str">
            <v>Active</v>
          </cell>
          <cell r="D874" t="str">
            <v>Southern and Eastern Africa</v>
          </cell>
          <cell r="E874" t="str">
            <v>RWA</v>
          </cell>
          <cell r="F874" t="str">
            <v>Ministry of Health of Rwanda</v>
          </cell>
        </row>
        <row r="875">
          <cell r="B875" t="str">
            <v>STP-011-G05-H</v>
          </cell>
          <cell r="C875" t="str">
            <v>Active</v>
          </cell>
          <cell r="D875" t="str">
            <v>Western Africa</v>
          </cell>
          <cell r="E875" t="str">
            <v>STP</v>
          </cell>
          <cell r="F875" t="str">
            <v>United Nations Development Programme, Sao Tome and Principe</v>
          </cell>
        </row>
        <row r="876">
          <cell r="B876" t="str">
            <v>STP-405-G01-M</v>
          </cell>
          <cell r="C876" t="str">
            <v>Administratively Closed</v>
          </cell>
          <cell r="D876" t="str">
            <v>Western Africa</v>
          </cell>
          <cell r="E876" t="str">
            <v>STP</v>
          </cell>
          <cell r="F876" t="str">
            <v>United Nations Development Programme, Sao Tome and Principe</v>
          </cell>
        </row>
        <row r="877">
          <cell r="B877" t="str">
            <v>STP-506-G02-H</v>
          </cell>
          <cell r="C877" t="str">
            <v>Financially Closed</v>
          </cell>
          <cell r="D877" t="str">
            <v>Western Africa</v>
          </cell>
          <cell r="E877" t="str">
            <v>STP</v>
          </cell>
          <cell r="F877" t="str">
            <v>United Nations Development Programme, Sao Tome and Principe</v>
          </cell>
        </row>
        <row r="878">
          <cell r="B878" t="str">
            <v>STP-708-G03-M</v>
          </cell>
          <cell r="C878" t="str">
            <v>Administratively Closed</v>
          </cell>
          <cell r="D878" t="str">
            <v>Western Africa</v>
          </cell>
          <cell r="E878" t="str">
            <v>STP</v>
          </cell>
          <cell r="F878" t="str">
            <v>United Nations Development Programme, Sao Tome and Principe</v>
          </cell>
        </row>
        <row r="879">
          <cell r="B879" t="str">
            <v>STP-809-G04-T</v>
          </cell>
          <cell r="C879" t="str">
            <v>Active</v>
          </cell>
          <cell r="D879" t="str">
            <v>Western Africa</v>
          </cell>
          <cell r="E879" t="str">
            <v>STP</v>
          </cell>
          <cell r="F879" t="str">
            <v>United Nations Development Programme, Sao Tome and Principe</v>
          </cell>
        </row>
        <row r="880">
          <cell r="B880" t="str">
            <v>STP-M-UNDP</v>
          </cell>
          <cell r="C880" t="str">
            <v>Active</v>
          </cell>
          <cell r="D880" t="str">
            <v>Western Africa</v>
          </cell>
          <cell r="E880" t="str">
            <v>STP</v>
          </cell>
          <cell r="F880" t="str">
            <v>United Nations Development Programme, Sao Tome and Principe</v>
          </cell>
        </row>
        <row r="881">
          <cell r="B881" t="str">
            <v>SEN-M-IntraH</v>
          </cell>
          <cell r="C881" t="str">
            <v>Active</v>
          </cell>
          <cell r="D881" t="str">
            <v>Western Africa</v>
          </cell>
          <cell r="E881" t="str">
            <v>SEN</v>
          </cell>
          <cell r="F881" t="str">
            <v>IntraHealth International</v>
          </cell>
        </row>
        <row r="882">
          <cell r="B882" t="str">
            <v>SEN-M-PNLP</v>
          </cell>
          <cell r="C882" t="str">
            <v>Active</v>
          </cell>
          <cell r="D882" t="str">
            <v>Western Africa</v>
          </cell>
          <cell r="E882" t="str">
            <v>SEN</v>
          </cell>
          <cell r="F882" t="str">
            <v>Ministry of Health and Social Action of Senegal</v>
          </cell>
        </row>
        <row r="883">
          <cell r="B883" t="str">
            <v>SNG-102-G01-H-00</v>
          </cell>
          <cell r="C883" t="str">
            <v>Administratively Closed</v>
          </cell>
          <cell r="D883" t="str">
            <v>Western Africa</v>
          </cell>
          <cell r="E883" t="str">
            <v>SEN</v>
          </cell>
          <cell r="F883" t="str">
            <v>Conseil National de Lutte Contre le SIDA, Senegal</v>
          </cell>
        </row>
        <row r="884">
          <cell r="B884" t="str">
            <v>SNG-102-G02-M-00</v>
          </cell>
          <cell r="C884" t="str">
            <v>Administratively Closed</v>
          </cell>
          <cell r="D884" t="str">
            <v>Western Africa</v>
          </cell>
          <cell r="E884" t="str">
            <v>SEN</v>
          </cell>
          <cell r="F884" t="str">
            <v>Ministry of Health and Medical Prevention of Senegal</v>
          </cell>
        </row>
        <row r="885">
          <cell r="B885" t="str">
            <v>SNG-102-G04-H-00</v>
          </cell>
          <cell r="C885" t="str">
            <v>Administratively Closed</v>
          </cell>
          <cell r="D885" t="str">
            <v>Western Africa</v>
          </cell>
          <cell r="E885" t="str">
            <v>SEN</v>
          </cell>
          <cell r="F885" t="str">
            <v>Alliance Nationale Contre le SIDA, Senegal</v>
          </cell>
        </row>
        <row r="886">
          <cell r="B886" t="str">
            <v>SNG-405-G03-M</v>
          </cell>
          <cell r="C886" t="str">
            <v>Financial Closure</v>
          </cell>
          <cell r="D886" t="str">
            <v>Western Africa</v>
          </cell>
          <cell r="E886" t="str">
            <v>SEN</v>
          </cell>
          <cell r="F886" t="str">
            <v>Ministry of Health and Medical Prevention of Senegal</v>
          </cell>
        </row>
        <row r="887">
          <cell r="B887" t="str">
            <v>SNG-607-G05-H</v>
          </cell>
          <cell r="C887" t="str">
            <v>Administratively Closed</v>
          </cell>
          <cell r="D887" t="str">
            <v>Western Africa</v>
          </cell>
          <cell r="E887" t="str">
            <v>SEN</v>
          </cell>
          <cell r="F887" t="str">
            <v>Conseil National de Lutte Contre le SIDA, Senegal</v>
          </cell>
        </row>
        <row r="888">
          <cell r="B888" t="str">
            <v>SNG-607-G06-H</v>
          </cell>
          <cell r="C888" t="str">
            <v>Administratively Closed</v>
          </cell>
          <cell r="D888" t="str">
            <v>Western Africa</v>
          </cell>
          <cell r="E888" t="str">
            <v>SEN</v>
          </cell>
          <cell r="F888" t="str">
            <v>Alliance Nationale Contre le SIDA, Senegal</v>
          </cell>
        </row>
        <row r="889">
          <cell r="B889" t="str">
            <v>SNG-708-G07-M</v>
          </cell>
          <cell r="C889" t="str">
            <v>Administratively Closed</v>
          </cell>
          <cell r="D889" t="str">
            <v>Western Africa</v>
          </cell>
          <cell r="E889" t="str">
            <v>SEN</v>
          </cell>
          <cell r="F889" t="str">
            <v>Ministry of Health and Medical Prevention of Senegal</v>
          </cell>
        </row>
        <row r="890">
          <cell r="B890" t="str">
            <v>SNG-708-G08-T</v>
          </cell>
          <cell r="C890" t="str">
            <v>Administratively Closed</v>
          </cell>
          <cell r="D890" t="str">
            <v>Western Africa</v>
          </cell>
          <cell r="E890" t="str">
            <v>SEN</v>
          </cell>
          <cell r="F890" t="str">
            <v>Ministry of Health and Medical Prevention of Senegal</v>
          </cell>
        </row>
        <row r="891">
          <cell r="B891" t="str">
            <v>SNG-H-ANCS</v>
          </cell>
          <cell r="C891" t="str">
            <v>Active</v>
          </cell>
          <cell r="D891" t="str">
            <v>Western Africa</v>
          </cell>
          <cell r="E891" t="str">
            <v>SEN</v>
          </cell>
          <cell r="F891" t="str">
            <v>Alliance Nationale Contre le SIDA, Senegal</v>
          </cell>
        </row>
        <row r="892">
          <cell r="B892" t="str">
            <v>SNG-H-CNLS</v>
          </cell>
          <cell r="C892" t="str">
            <v>Active</v>
          </cell>
          <cell r="D892" t="str">
            <v>Western Africa</v>
          </cell>
          <cell r="E892" t="str">
            <v>SEN</v>
          </cell>
          <cell r="F892" t="str">
            <v>Conseil National de Lutte Contre le SIDA, Senegal</v>
          </cell>
        </row>
        <row r="893">
          <cell r="B893" t="str">
            <v>SNG-H-DLSI</v>
          </cell>
          <cell r="C893" t="str">
            <v>Active</v>
          </cell>
          <cell r="D893" t="str">
            <v>Western Africa</v>
          </cell>
          <cell r="E893" t="str">
            <v>SEN</v>
          </cell>
          <cell r="F893" t="str">
            <v>Social Hygien Institue AIDS Division, Ministry of Health, Prevention and Public Hygiene of Senegal</v>
          </cell>
        </row>
        <row r="894">
          <cell r="B894" t="str">
            <v>SNG-M-IH</v>
          </cell>
          <cell r="C894" t="str">
            <v>Active</v>
          </cell>
          <cell r="D894" t="str">
            <v>Western Africa</v>
          </cell>
          <cell r="E894" t="str">
            <v>SEN</v>
          </cell>
          <cell r="F894" t="str">
            <v>IntraHealth International</v>
          </cell>
        </row>
        <row r="895">
          <cell r="B895" t="str">
            <v>SNG-M-PNLP</v>
          </cell>
          <cell r="C895" t="str">
            <v>Active</v>
          </cell>
          <cell r="D895" t="str">
            <v>Western Africa</v>
          </cell>
          <cell r="E895" t="str">
            <v>SEN</v>
          </cell>
          <cell r="F895" t="str">
            <v>Ministry of Health and Medical Prevention of Senegal</v>
          </cell>
        </row>
        <row r="896">
          <cell r="B896" t="str">
            <v>SNG-T-PLAN</v>
          </cell>
          <cell r="C896" t="str">
            <v>Active</v>
          </cell>
          <cell r="D896" t="str">
            <v>Western Africa</v>
          </cell>
          <cell r="E896" t="str">
            <v>SEN</v>
          </cell>
          <cell r="F896" t="str">
            <v>Plan Senegal</v>
          </cell>
        </row>
        <row r="897">
          <cell r="B897" t="str">
            <v>SNG-T-PNT</v>
          </cell>
          <cell r="C897" t="str">
            <v>Active</v>
          </cell>
          <cell r="D897" t="str">
            <v>Western Africa</v>
          </cell>
          <cell r="E897" t="str">
            <v>SEN</v>
          </cell>
          <cell r="F897" t="str">
            <v>Ministry of Health and Social Action of Senegal</v>
          </cell>
        </row>
        <row r="898">
          <cell r="B898" t="str">
            <v>SER-102-G01-H-00</v>
          </cell>
          <cell r="C898" t="str">
            <v>Administratively Closed</v>
          </cell>
          <cell r="D898" t="str">
            <v>Eastern Europe and Central Asia</v>
          </cell>
          <cell r="E898" t="str">
            <v>SRB</v>
          </cell>
          <cell r="F898" t="str">
            <v>Economics Institute in Belgrade</v>
          </cell>
        </row>
        <row r="899">
          <cell r="B899" t="str">
            <v>SER-304-G02-T</v>
          </cell>
          <cell r="C899" t="str">
            <v>Administratively Closed</v>
          </cell>
          <cell r="D899" t="str">
            <v>Eastern Europe and Central Asia</v>
          </cell>
          <cell r="E899" t="str">
            <v>SRB</v>
          </cell>
          <cell r="F899" t="str">
            <v>Ministry of Health of Serbia</v>
          </cell>
        </row>
        <row r="900">
          <cell r="B900" t="str">
            <v>SER-607-G03-H</v>
          </cell>
          <cell r="C900" t="str">
            <v>Financial Closure</v>
          </cell>
          <cell r="D900" t="str">
            <v>Eastern Europe and Central Asia</v>
          </cell>
          <cell r="E900" t="str">
            <v>SRB</v>
          </cell>
          <cell r="F900" t="str">
            <v>Ministry of Health of Serbia</v>
          </cell>
        </row>
        <row r="901">
          <cell r="B901" t="str">
            <v>SER-809-G04-H</v>
          </cell>
          <cell r="C901" t="str">
            <v>Active</v>
          </cell>
          <cell r="D901" t="str">
            <v>Eastern Europe and Central Asia</v>
          </cell>
          <cell r="E901" t="str">
            <v>SRB</v>
          </cell>
          <cell r="F901" t="str">
            <v>Ministry of Health of Serbia</v>
          </cell>
        </row>
        <row r="902">
          <cell r="B902" t="str">
            <v>SER-809-G05-H</v>
          </cell>
          <cell r="C902" t="str">
            <v>Financial Closure</v>
          </cell>
          <cell r="D902" t="str">
            <v>Eastern Europe and Central Asia</v>
          </cell>
          <cell r="E902" t="str">
            <v>SRB</v>
          </cell>
          <cell r="F902" t="str">
            <v>Youth of JAZAS</v>
          </cell>
        </row>
        <row r="903">
          <cell r="B903" t="str">
            <v>SER-910-G06-T</v>
          </cell>
          <cell r="C903" t="str">
            <v>Active</v>
          </cell>
          <cell r="D903" t="str">
            <v>Eastern Europe and Central Asia</v>
          </cell>
          <cell r="E903" t="str">
            <v>SRB</v>
          </cell>
          <cell r="F903" t="str">
            <v>Ministry of Health of Serbia</v>
          </cell>
        </row>
        <row r="904">
          <cell r="B904" t="str">
            <v>SER-910-G07-T</v>
          </cell>
          <cell r="C904" t="str">
            <v>Active</v>
          </cell>
          <cell r="D904" t="str">
            <v>Eastern Europe and Central Asia</v>
          </cell>
          <cell r="E904" t="str">
            <v>SRB</v>
          </cell>
          <cell r="F904" t="str">
            <v>Red Cross of Serbia</v>
          </cell>
        </row>
        <row r="905">
          <cell r="B905" t="str">
            <v>SLE-202-G01-T-00</v>
          </cell>
          <cell r="C905" t="str">
            <v>Administratively Closed</v>
          </cell>
          <cell r="D905" t="str">
            <v>Central Africa</v>
          </cell>
          <cell r="E905" t="str">
            <v>SLE</v>
          </cell>
          <cell r="F905" t="str">
            <v>Sierra Leone Red Cross</v>
          </cell>
        </row>
        <row r="906">
          <cell r="B906" t="str">
            <v>SLE-405-G02-H</v>
          </cell>
          <cell r="C906" t="str">
            <v>Administratively Closed</v>
          </cell>
          <cell r="D906" t="str">
            <v>Central Africa</v>
          </cell>
          <cell r="E906" t="str">
            <v>SLE</v>
          </cell>
          <cell r="F906" t="str">
            <v>National HIV/AIDS Secretariat of Sierra Leone</v>
          </cell>
        </row>
        <row r="907">
          <cell r="B907" t="str">
            <v>SLE-405-G03-M</v>
          </cell>
          <cell r="C907" t="str">
            <v>Administratively Closed</v>
          </cell>
          <cell r="D907" t="str">
            <v>Central Africa</v>
          </cell>
          <cell r="E907" t="str">
            <v>SLE</v>
          </cell>
          <cell r="F907" t="str">
            <v>Sierra Leone Red Cross</v>
          </cell>
        </row>
        <row r="908">
          <cell r="B908" t="str">
            <v>SLE-607-G04-H</v>
          </cell>
          <cell r="C908" t="str">
            <v>Administratively Closed</v>
          </cell>
          <cell r="D908" t="str">
            <v>Central Africa</v>
          </cell>
          <cell r="E908" t="str">
            <v>SLE</v>
          </cell>
          <cell r="F908" t="str">
            <v>National HIV/AIDS Secretariat of Sierra Leone</v>
          </cell>
        </row>
        <row r="909">
          <cell r="B909" t="str">
            <v>SLE-708-G05-M</v>
          </cell>
          <cell r="C909" t="str">
            <v>Administratively Closed</v>
          </cell>
          <cell r="D909" t="str">
            <v>Central Africa</v>
          </cell>
          <cell r="E909" t="str">
            <v>SLE</v>
          </cell>
          <cell r="F909" t="str">
            <v>Ministry of Health and Sanitation, Sierra Leone</v>
          </cell>
        </row>
        <row r="910">
          <cell r="B910" t="str">
            <v>SLE-708-G06-T</v>
          </cell>
          <cell r="C910" t="str">
            <v>Active</v>
          </cell>
          <cell r="D910" t="str">
            <v>Central Africa</v>
          </cell>
          <cell r="E910" t="str">
            <v>SLE</v>
          </cell>
          <cell r="F910" t="str">
            <v>Ministry of Health and Sanitation, Sierra Leone</v>
          </cell>
        </row>
        <row r="911">
          <cell r="B911" t="str">
            <v>SLE-H-NAS</v>
          </cell>
          <cell r="C911" t="str">
            <v>Active</v>
          </cell>
          <cell r="D911" t="str">
            <v>Central Africa</v>
          </cell>
          <cell r="E911" t="str">
            <v>SLE</v>
          </cell>
          <cell r="F911" t="str">
            <v>National HIV/AIDS Secretariat of Sierra Leone</v>
          </cell>
        </row>
        <row r="912">
          <cell r="B912" t="str">
            <v>SLE-M-CRSSL</v>
          </cell>
          <cell r="C912" t="str">
            <v>Active</v>
          </cell>
          <cell r="D912" t="str">
            <v>Central Africa</v>
          </cell>
          <cell r="E912" t="str">
            <v>SLE</v>
          </cell>
          <cell r="F912" t="str">
            <v>Catholic Relief Services - Sierra Leone</v>
          </cell>
        </row>
        <row r="913">
          <cell r="B913" t="str">
            <v>SLE-M-MOHS</v>
          </cell>
          <cell r="C913" t="str">
            <v>Active</v>
          </cell>
          <cell r="D913" t="str">
            <v>Central Africa</v>
          </cell>
          <cell r="E913" t="str">
            <v>SLE</v>
          </cell>
          <cell r="F913" t="str">
            <v>Ministry of Health and Sanitation, Sierra Leone</v>
          </cell>
        </row>
        <row r="914">
          <cell r="B914" t="str">
            <v>SLB-810-G01-T</v>
          </cell>
          <cell r="C914" t="str">
            <v>Active</v>
          </cell>
          <cell r="D914" t="str">
            <v>South East Asia</v>
          </cell>
          <cell r="E914" t="str">
            <v>SLB</v>
          </cell>
          <cell r="F914" t="str">
            <v>Secretariat of the Pacific Community</v>
          </cell>
        </row>
        <row r="915">
          <cell r="B915" t="str">
            <v>SLB-M-MHMS</v>
          </cell>
          <cell r="C915" t="str">
            <v>N.D.</v>
          </cell>
          <cell r="D915" t="str">
            <v>South East Asia</v>
          </cell>
          <cell r="E915" t="str">
            <v>SLB</v>
          </cell>
          <cell r="F915" t="str">
            <v>Not Defined</v>
          </cell>
        </row>
        <row r="916">
          <cell r="B916" t="str">
            <v>SLB-T-MHMS</v>
          </cell>
          <cell r="C916" t="str">
            <v>N.D.</v>
          </cell>
          <cell r="D916" t="str">
            <v>South East Asia</v>
          </cell>
          <cell r="E916" t="str">
            <v>SLB</v>
          </cell>
          <cell r="F916" t="str">
            <v>Not Defined</v>
          </cell>
        </row>
        <row r="917">
          <cell r="B917" t="str">
            <v>SOM-012-G07-M</v>
          </cell>
          <cell r="C917" t="str">
            <v>Active</v>
          </cell>
          <cell r="D917" t="str">
            <v>Middle East and North Africa</v>
          </cell>
          <cell r="E917" t="str">
            <v>SOM</v>
          </cell>
          <cell r="F917" t="str">
            <v>United Nations Children's Fund, Somalia</v>
          </cell>
        </row>
        <row r="918">
          <cell r="B918" t="str">
            <v>SOM-202-G01-M-00</v>
          </cell>
          <cell r="C918" t="str">
            <v>Administratively Closed</v>
          </cell>
          <cell r="D918" t="str">
            <v>Middle East and North Africa</v>
          </cell>
          <cell r="E918" t="str">
            <v>SOM</v>
          </cell>
          <cell r="F918" t="str">
            <v>United Nations Children's Fund, Somalia</v>
          </cell>
        </row>
        <row r="919">
          <cell r="B919" t="str">
            <v>SOM-304-G02-T</v>
          </cell>
          <cell r="C919" t="str">
            <v>Administratively Closed</v>
          </cell>
          <cell r="D919" t="str">
            <v>Middle East and North Africa</v>
          </cell>
          <cell r="E919" t="str">
            <v>SOM</v>
          </cell>
          <cell r="F919" t="str">
            <v>World Vision Somalia</v>
          </cell>
        </row>
        <row r="920">
          <cell r="B920" t="str">
            <v>SOM-405-G03-H</v>
          </cell>
          <cell r="C920" t="str">
            <v>Administratively Closed</v>
          </cell>
          <cell r="D920" t="str">
            <v>Middle East and North Africa</v>
          </cell>
          <cell r="E920" t="str">
            <v>SOM</v>
          </cell>
          <cell r="F920" t="str">
            <v>United Nations Children's Fund, Somalia</v>
          </cell>
        </row>
        <row r="921">
          <cell r="B921" t="str">
            <v>SOM-607-G04-M</v>
          </cell>
          <cell r="C921" t="str">
            <v>Financial Closure</v>
          </cell>
          <cell r="D921" t="str">
            <v>Middle East and North Africa</v>
          </cell>
          <cell r="E921" t="str">
            <v>SOM</v>
          </cell>
          <cell r="F921" t="str">
            <v>United Nations Children's Fund, Somalia</v>
          </cell>
        </row>
        <row r="922">
          <cell r="B922" t="str">
            <v>SOM-708-G05-T</v>
          </cell>
          <cell r="C922" t="str">
            <v>Administratively Closed</v>
          </cell>
          <cell r="D922" t="str">
            <v>Middle East and North Africa</v>
          </cell>
          <cell r="E922" t="str">
            <v>SOM</v>
          </cell>
          <cell r="F922" t="str">
            <v>World Vision Somalia</v>
          </cell>
        </row>
        <row r="923">
          <cell r="B923" t="str">
            <v>SOM-809-G06-H</v>
          </cell>
          <cell r="C923" t="str">
            <v>Active</v>
          </cell>
          <cell r="D923" t="str">
            <v>Middle East and North Africa</v>
          </cell>
          <cell r="E923" t="str">
            <v>SOM</v>
          </cell>
          <cell r="F923" t="str">
            <v>United Nations Children's Fund, Somalia</v>
          </cell>
        </row>
        <row r="924">
          <cell r="B924" t="str">
            <v>SOM-H-UNICEF</v>
          </cell>
          <cell r="C924" t="str">
            <v>N.D.</v>
          </cell>
          <cell r="D924" t="str">
            <v>Middle East and North Africa</v>
          </cell>
          <cell r="E924" t="str">
            <v>SOM</v>
          </cell>
          <cell r="F924" t="str">
            <v>Not Defined</v>
          </cell>
        </row>
        <row r="925">
          <cell r="B925" t="str">
            <v>SOM-M-UNICEF</v>
          </cell>
          <cell r="C925" t="str">
            <v>N.D.</v>
          </cell>
          <cell r="D925" t="str">
            <v>Middle East and North Africa</v>
          </cell>
          <cell r="E925" t="str">
            <v>SOM</v>
          </cell>
          <cell r="F925" t="str">
            <v>Not Defined</v>
          </cell>
        </row>
        <row r="926">
          <cell r="B926" t="str">
            <v>SOM-T-WV</v>
          </cell>
          <cell r="C926" t="str">
            <v>Active</v>
          </cell>
          <cell r="D926" t="str">
            <v>Middle East and North Africa</v>
          </cell>
          <cell r="E926" t="str">
            <v>SOM</v>
          </cell>
          <cell r="F926" t="str">
            <v>World Vision Somalia</v>
          </cell>
        </row>
        <row r="927">
          <cell r="B927" t="str">
            <v>SAF-102-G01-C-00</v>
          </cell>
          <cell r="C927" t="str">
            <v>Financial Closure</v>
          </cell>
          <cell r="D927" t="str">
            <v>High Impact Africa 1</v>
          </cell>
          <cell r="E927" t="str">
            <v>ZAF</v>
          </cell>
          <cell r="F927" t="str">
            <v>National Treasury of the Republic of South Africa</v>
          </cell>
        </row>
        <row r="928">
          <cell r="B928" t="str">
            <v>SAF-102-G02-C-00</v>
          </cell>
          <cell r="C928" t="str">
            <v>Financial Closure</v>
          </cell>
          <cell r="D928" t="str">
            <v>High Impact Africa 1</v>
          </cell>
          <cell r="E928" t="str">
            <v>ZAF</v>
          </cell>
          <cell r="F928" t="str">
            <v>National Treasury of the Republic of South Africa</v>
          </cell>
        </row>
        <row r="929">
          <cell r="B929" t="str">
            <v>SAF-102-G03-C-00</v>
          </cell>
          <cell r="C929" t="str">
            <v>Administratively Closed</v>
          </cell>
          <cell r="D929" t="str">
            <v>High Impact Africa 1</v>
          </cell>
          <cell r="E929" t="str">
            <v>ZAF</v>
          </cell>
          <cell r="F929" t="str">
            <v>National Treasury of the Republic of South Africa</v>
          </cell>
        </row>
        <row r="930">
          <cell r="B930" t="str">
            <v>SAF-202-G05-C-00</v>
          </cell>
          <cell r="C930" t="str">
            <v>Financial Closure</v>
          </cell>
          <cell r="D930" t="str">
            <v>High Impact Africa 1</v>
          </cell>
          <cell r="E930" t="str">
            <v>ZAF</v>
          </cell>
          <cell r="F930" t="str">
            <v>Department of Health of South Africa</v>
          </cell>
        </row>
        <row r="931">
          <cell r="B931" t="str">
            <v>SAF-304-G04-H</v>
          </cell>
          <cell r="C931" t="str">
            <v>Active</v>
          </cell>
          <cell r="D931" t="str">
            <v>High Impact Africa 1</v>
          </cell>
          <cell r="E931" t="str">
            <v>ZAF</v>
          </cell>
          <cell r="F931" t="str">
            <v>Western Cape Provincial Department of Health</v>
          </cell>
        </row>
        <row r="932">
          <cell r="B932" t="str">
            <v>SAF-607-G06-H</v>
          </cell>
          <cell r="C932" t="str">
            <v>Administratively Closed</v>
          </cell>
          <cell r="D932" t="str">
            <v>High Impact Africa 1</v>
          </cell>
          <cell r="E932" t="str">
            <v>ZAF</v>
          </cell>
          <cell r="F932" t="str">
            <v>Department of Health of South Africa</v>
          </cell>
        </row>
        <row r="933">
          <cell r="B933" t="str">
            <v>SAF-910-G07-H</v>
          </cell>
          <cell r="C933" t="str">
            <v>Administratively Closed</v>
          </cell>
          <cell r="D933" t="str">
            <v>High Impact Africa 1</v>
          </cell>
          <cell r="E933" t="str">
            <v>ZAF</v>
          </cell>
          <cell r="F933" t="str">
            <v>Department of Health of South Africa</v>
          </cell>
        </row>
        <row r="934">
          <cell r="B934" t="str">
            <v>SAF-910-G08-H</v>
          </cell>
          <cell r="C934" t="str">
            <v>Administratively Closed</v>
          </cell>
          <cell r="D934" t="str">
            <v>High Impact Africa 1</v>
          </cell>
          <cell r="E934" t="str">
            <v>ZAF</v>
          </cell>
          <cell r="F934" t="str">
            <v>Networking AIDS Community of South Africa</v>
          </cell>
        </row>
        <row r="935">
          <cell r="B935" t="str">
            <v>SAF-910-G09-H</v>
          </cell>
          <cell r="C935" t="str">
            <v>Administratively Closed</v>
          </cell>
          <cell r="D935" t="str">
            <v>High Impact Africa 1</v>
          </cell>
          <cell r="E935" t="str">
            <v>ZAF</v>
          </cell>
          <cell r="F935" t="str">
            <v>National Religious Association for Social Development</v>
          </cell>
        </row>
        <row r="936">
          <cell r="B936" t="str">
            <v>SAF-H-NACOSA</v>
          </cell>
          <cell r="C936" t="str">
            <v>Active</v>
          </cell>
          <cell r="D936" t="str">
            <v>High Impact Africa 1</v>
          </cell>
          <cell r="E936" t="str">
            <v>ZAF</v>
          </cell>
          <cell r="F936" t="str">
            <v>Networking AIDS Community of South Africa</v>
          </cell>
        </row>
        <row r="937">
          <cell r="B937" t="str">
            <v>SAF-H-NDOH</v>
          </cell>
          <cell r="C937" t="str">
            <v>Active</v>
          </cell>
          <cell r="D937" t="str">
            <v>High Impact Africa 1</v>
          </cell>
          <cell r="E937" t="str">
            <v>ZAF</v>
          </cell>
          <cell r="F937" t="str">
            <v>Department of Health of South Africa</v>
          </cell>
        </row>
        <row r="938">
          <cell r="B938" t="str">
            <v>SAF-H-NRASD</v>
          </cell>
          <cell r="C938" t="str">
            <v>Active</v>
          </cell>
          <cell r="D938" t="str">
            <v>High Impact Africa 1</v>
          </cell>
          <cell r="E938" t="str">
            <v>ZAF</v>
          </cell>
          <cell r="F938" t="str">
            <v>National Religious Association for Social Development</v>
          </cell>
        </row>
        <row r="939">
          <cell r="B939" t="str">
            <v>SAF-H-RTC</v>
          </cell>
          <cell r="C939" t="str">
            <v>Active</v>
          </cell>
          <cell r="D939" t="str">
            <v>High Impact Africa 1</v>
          </cell>
          <cell r="E939" t="str">
            <v>ZAF</v>
          </cell>
          <cell r="F939" t="str">
            <v>Right to care</v>
          </cell>
        </row>
        <row r="940">
          <cell r="B940" t="str">
            <v>SAF-H-SCI</v>
          </cell>
          <cell r="C940" t="str">
            <v>Active</v>
          </cell>
          <cell r="D940" t="str">
            <v>High Impact Africa 1</v>
          </cell>
          <cell r="E940" t="str">
            <v>ZAF</v>
          </cell>
          <cell r="F940" t="str">
            <v>Soul City Institute for Health &amp; Development Communication</v>
          </cell>
        </row>
        <row r="941">
          <cell r="B941" t="str">
            <v>SSD-202-G01-M-00</v>
          </cell>
          <cell r="C941" t="str">
            <v>Administratively Closed</v>
          </cell>
          <cell r="D941" t="str">
            <v>Middle East and North Africa</v>
          </cell>
          <cell r="E941" t="str">
            <v>SSD</v>
          </cell>
          <cell r="F941" t="str">
            <v>United Nations Development Programme in South Sudan</v>
          </cell>
        </row>
        <row r="942">
          <cell r="B942" t="str">
            <v>SSD-202-G02-T-00</v>
          </cell>
          <cell r="C942" t="str">
            <v>Financially Closed</v>
          </cell>
          <cell r="D942" t="str">
            <v>Middle East and North Africa</v>
          </cell>
          <cell r="E942" t="str">
            <v>SSD</v>
          </cell>
          <cell r="F942" t="str">
            <v>United Nations Development Programme in South Sudan</v>
          </cell>
        </row>
        <row r="943">
          <cell r="B943" t="str">
            <v>SSD-405-G05-H</v>
          </cell>
          <cell r="C943" t="str">
            <v>Active</v>
          </cell>
          <cell r="D943" t="str">
            <v>Middle East and North Africa</v>
          </cell>
          <cell r="E943" t="str">
            <v>SSD</v>
          </cell>
          <cell r="F943" t="str">
            <v>United Nations Development Programme in South Sudan</v>
          </cell>
        </row>
        <row r="944">
          <cell r="B944" t="str">
            <v>SSD-506-G06-T</v>
          </cell>
          <cell r="C944" t="str">
            <v>Financial Closure</v>
          </cell>
          <cell r="D944" t="str">
            <v>Middle East and North Africa</v>
          </cell>
          <cell r="E944" t="str">
            <v>SSD</v>
          </cell>
          <cell r="F944" t="str">
            <v>United Nations Development Programme in South Sudan</v>
          </cell>
        </row>
        <row r="945">
          <cell r="B945" t="str">
            <v>SSD-708-G09-M</v>
          </cell>
          <cell r="C945" t="str">
            <v>Administratively Closed</v>
          </cell>
          <cell r="D945" t="str">
            <v>Middle East and North Africa</v>
          </cell>
          <cell r="E945" t="str">
            <v>SSD</v>
          </cell>
          <cell r="F945" t="str">
            <v>Population Services International, USA</v>
          </cell>
        </row>
        <row r="946">
          <cell r="B946" t="str">
            <v>SSD-708-G11-T</v>
          </cell>
          <cell r="C946" t="str">
            <v>Active</v>
          </cell>
          <cell r="D946" t="str">
            <v>Middle East and North Africa</v>
          </cell>
          <cell r="E946" t="str">
            <v>SSD</v>
          </cell>
          <cell r="F946" t="str">
            <v>United Nations Development Programme in South Sudan</v>
          </cell>
        </row>
        <row r="947">
          <cell r="B947" t="str">
            <v>SSD-910-G13-S</v>
          </cell>
          <cell r="C947" t="str">
            <v>Active</v>
          </cell>
          <cell r="D947" t="str">
            <v>Middle East and North Africa</v>
          </cell>
          <cell r="E947" t="str">
            <v>SSD</v>
          </cell>
          <cell r="F947" t="str">
            <v>United Nations Development Programme in South Sudan</v>
          </cell>
        </row>
        <row r="948">
          <cell r="B948" t="str">
            <v>SSD-M-PSI</v>
          </cell>
          <cell r="C948" t="str">
            <v>Active</v>
          </cell>
          <cell r="D948" t="str">
            <v>Middle East and North Africa</v>
          </cell>
          <cell r="E948" t="str">
            <v>SSD</v>
          </cell>
          <cell r="F948" t="str">
            <v>Population Services International, USA</v>
          </cell>
        </row>
        <row r="949">
          <cell r="B949" t="str">
            <v>SRL-102-G01-M-00</v>
          </cell>
          <cell r="C949" t="str">
            <v>Administratively Closed</v>
          </cell>
          <cell r="D949" t="str">
            <v>South East Asia</v>
          </cell>
          <cell r="E949" t="str">
            <v>LKA</v>
          </cell>
          <cell r="F949" t="str">
            <v>Ministry of Health of the Government of Sri Lanka</v>
          </cell>
        </row>
        <row r="950">
          <cell r="B950" t="str">
            <v>SRL-102-G02-M-00</v>
          </cell>
          <cell r="C950" t="str">
            <v>Financial Closure</v>
          </cell>
          <cell r="D950" t="str">
            <v>South East Asia</v>
          </cell>
          <cell r="E950" t="str">
            <v>LKA</v>
          </cell>
          <cell r="F950" t="str">
            <v>Lanka Jatika Sarvodaya Shramadana Sangamaya</v>
          </cell>
        </row>
        <row r="951">
          <cell r="B951" t="str">
            <v>SRL-102-G03-T-00</v>
          </cell>
          <cell r="C951" t="str">
            <v>Administratively Closed</v>
          </cell>
          <cell r="D951" t="str">
            <v>South East Asia</v>
          </cell>
          <cell r="E951" t="str">
            <v>LKA</v>
          </cell>
          <cell r="F951" t="str">
            <v>Ministry of Health of the Government of Sri Lanka</v>
          </cell>
        </row>
        <row r="952">
          <cell r="B952" t="str">
            <v>SRL-102-G04-T-00</v>
          </cell>
          <cell r="C952" t="str">
            <v>Financial Closure</v>
          </cell>
          <cell r="D952" t="str">
            <v>South East Asia</v>
          </cell>
          <cell r="E952" t="str">
            <v>LKA</v>
          </cell>
          <cell r="F952" t="str">
            <v>Lanka Jatika Sarvodaya Shramadana Sangamaya</v>
          </cell>
        </row>
        <row r="953">
          <cell r="B953" t="str">
            <v>SRL-405-G05-M</v>
          </cell>
          <cell r="C953" t="str">
            <v>Financially Closed</v>
          </cell>
          <cell r="D953" t="str">
            <v>South East Asia</v>
          </cell>
          <cell r="E953" t="str">
            <v>LKA</v>
          </cell>
          <cell r="F953" t="str">
            <v>Ministry of Health of the Government of Sri Lanka</v>
          </cell>
        </row>
        <row r="954">
          <cell r="B954" t="str">
            <v>SRL-405-G06-M</v>
          </cell>
          <cell r="C954" t="str">
            <v>Financial Closure</v>
          </cell>
          <cell r="D954" t="str">
            <v>South East Asia</v>
          </cell>
          <cell r="E954" t="str">
            <v>LKA</v>
          </cell>
          <cell r="F954" t="str">
            <v>Lanka Jatika Sarvodaya Shramadana Sangamaya</v>
          </cell>
        </row>
        <row r="955">
          <cell r="B955" t="str">
            <v>SRL-607-G07-T</v>
          </cell>
          <cell r="C955" t="str">
            <v>Active</v>
          </cell>
          <cell r="D955" t="str">
            <v>South East Asia</v>
          </cell>
          <cell r="E955" t="str">
            <v>LKA</v>
          </cell>
          <cell r="F955" t="str">
            <v>Ministry of Health of the Government of Sri Lanka</v>
          </cell>
        </row>
        <row r="956">
          <cell r="B956" t="str">
            <v>SRL-607-G08-T</v>
          </cell>
          <cell r="C956" t="str">
            <v>Financial Closure</v>
          </cell>
          <cell r="D956" t="str">
            <v>South East Asia</v>
          </cell>
          <cell r="E956" t="str">
            <v>LKA</v>
          </cell>
          <cell r="F956" t="str">
            <v>Lanka Jatika Sarvodaya Shramadana Sangamaya</v>
          </cell>
        </row>
        <row r="957">
          <cell r="B957" t="str">
            <v>SRL-607-G09-H</v>
          </cell>
          <cell r="C957" t="str">
            <v>Administratively Closed</v>
          </cell>
          <cell r="D957" t="str">
            <v>South East Asia</v>
          </cell>
          <cell r="E957" t="str">
            <v>LKA</v>
          </cell>
          <cell r="F957" t="str">
            <v>Ministry of Health of the Government of Sri Lanka</v>
          </cell>
        </row>
        <row r="958">
          <cell r="B958" t="str">
            <v>SRL-809-G10-M</v>
          </cell>
          <cell r="C958" t="str">
            <v>Active</v>
          </cell>
          <cell r="D958" t="str">
            <v>South East Asia</v>
          </cell>
          <cell r="E958" t="str">
            <v>LKA</v>
          </cell>
          <cell r="F958" t="str">
            <v>Ministry of Health of the Government of Sri Lanka</v>
          </cell>
        </row>
        <row r="959">
          <cell r="B959" t="str">
            <v>SRL-809-G11-M</v>
          </cell>
          <cell r="C959" t="str">
            <v>Financial Closure</v>
          </cell>
          <cell r="D959" t="str">
            <v>South East Asia</v>
          </cell>
          <cell r="E959" t="str">
            <v>LKA</v>
          </cell>
          <cell r="F959" t="str">
            <v>Tropical and Environmental Diseases and Health Associates</v>
          </cell>
        </row>
        <row r="960">
          <cell r="B960" t="str">
            <v>SRL-809-G12-M</v>
          </cell>
          <cell r="C960" t="str">
            <v>Active</v>
          </cell>
          <cell r="D960" t="str">
            <v>South East Asia</v>
          </cell>
          <cell r="E960" t="str">
            <v>LKA</v>
          </cell>
          <cell r="F960" t="str">
            <v>Lanka Jatika Sarvodaya Shramadana Sangamaya</v>
          </cell>
        </row>
        <row r="961">
          <cell r="B961" t="str">
            <v>SRL-911-G14-H</v>
          </cell>
          <cell r="C961" t="str">
            <v>Financial Closure</v>
          </cell>
          <cell r="D961" t="str">
            <v>South East Asia</v>
          </cell>
          <cell r="E961" t="str">
            <v>LKA</v>
          </cell>
          <cell r="F961" t="str">
            <v>Lanka Jatika Sarvodaya Shramadana Sangamaya</v>
          </cell>
        </row>
        <row r="962">
          <cell r="B962" t="str">
            <v>SRL-911-G15-S</v>
          </cell>
          <cell r="C962" t="str">
            <v>Active</v>
          </cell>
          <cell r="D962" t="str">
            <v>South East Asia</v>
          </cell>
          <cell r="E962" t="str">
            <v>LKA</v>
          </cell>
          <cell r="F962" t="str">
            <v>Ministry of Health of the Government of Sri Lanka</v>
          </cell>
        </row>
        <row r="963">
          <cell r="B963" t="str">
            <v>SRL-913-G16-H</v>
          </cell>
          <cell r="C963" t="str">
            <v>Active</v>
          </cell>
          <cell r="D963" t="str">
            <v>South East Asia</v>
          </cell>
          <cell r="E963" t="str">
            <v>LKA</v>
          </cell>
          <cell r="F963" t="str">
            <v>The Family Planning Association of Sri Lanka</v>
          </cell>
        </row>
        <row r="964">
          <cell r="B964" t="str">
            <v>SRL-S11-G13-H</v>
          </cell>
          <cell r="C964" t="str">
            <v>Active</v>
          </cell>
          <cell r="D964" t="str">
            <v>South East Asia</v>
          </cell>
          <cell r="E964" t="str">
            <v>LKA</v>
          </cell>
          <cell r="F964" t="str">
            <v>Ministry of Health of the Government of Sri Lanka</v>
          </cell>
        </row>
        <row r="965">
          <cell r="B965" t="str">
            <v>SDN-H-UNDP</v>
          </cell>
          <cell r="C965" t="str">
            <v>N.D.</v>
          </cell>
          <cell r="D965" t="str">
            <v>High Impact Africa 1</v>
          </cell>
          <cell r="E965" t="str">
            <v>SDN</v>
          </cell>
          <cell r="F965" t="str">
            <v>Not Defined</v>
          </cell>
        </row>
        <row r="966">
          <cell r="B966" t="str">
            <v>SDN-M-UNDP</v>
          </cell>
          <cell r="C966" t="str">
            <v>N.D.</v>
          </cell>
          <cell r="D966" t="str">
            <v>High Impact Africa 1</v>
          </cell>
          <cell r="E966" t="str">
            <v>SDN</v>
          </cell>
          <cell r="F966" t="str">
            <v>Not Defined</v>
          </cell>
        </row>
        <row r="967">
          <cell r="B967" t="str">
            <v>SDN-T-UNDP</v>
          </cell>
          <cell r="C967" t="str">
            <v>N.D.</v>
          </cell>
          <cell r="D967" t="str">
            <v>High Impact Africa 1</v>
          </cell>
          <cell r="E967" t="str">
            <v>SDN</v>
          </cell>
          <cell r="F967" t="str">
            <v>Not Defined</v>
          </cell>
        </row>
        <row r="968">
          <cell r="B968" t="str">
            <v>SUD-011-G15-H</v>
          </cell>
          <cell r="C968" t="str">
            <v>Active</v>
          </cell>
          <cell r="D968" t="str">
            <v>High Impact Africa 1</v>
          </cell>
          <cell r="E968" t="str">
            <v>SDN</v>
          </cell>
          <cell r="F968" t="str">
            <v>United Nations Development Programme, Sudan</v>
          </cell>
        </row>
        <row r="969">
          <cell r="B969" t="str">
            <v>SUD-011-G16-M</v>
          </cell>
          <cell r="C969" t="str">
            <v>Active</v>
          </cell>
          <cell r="D969" t="str">
            <v>High Impact Africa 1</v>
          </cell>
          <cell r="E969" t="str">
            <v>SDN</v>
          </cell>
          <cell r="F969" t="str">
            <v>United Nations Development Programme, Sudan</v>
          </cell>
        </row>
        <row r="970">
          <cell r="B970" t="str">
            <v>SUD-202-G03-M-00</v>
          </cell>
          <cell r="C970" t="str">
            <v>Financial Closure</v>
          </cell>
          <cell r="D970" t="str">
            <v>High Impact Africa 1</v>
          </cell>
          <cell r="E970" t="str">
            <v>SDN</v>
          </cell>
          <cell r="F970" t="str">
            <v>United Nations Development Programme, Sudan</v>
          </cell>
        </row>
        <row r="971">
          <cell r="B971" t="str">
            <v>SUD-305-G04-H</v>
          </cell>
          <cell r="C971" t="str">
            <v>Financial Closure</v>
          </cell>
          <cell r="D971" t="str">
            <v>High Impact Africa 1</v>
          </cell>
          <cell r="E971" t="str">
            <v>SDN</v>
          </cell>
          <cell r="F971" t="str">
            <v>United Nations Development Programme, Sudan</v>
          </cell>
        </row>
        <row r="972">
          <cell r="B972" t="str">
            <v>SUD-506-G07-T</v>
          </cell>
          <cell r="C972" t="str">
            <v>Administratively Closed</v>
          </cell>
          <cell r="D972" t="str">
            <v>High Impact Africa 1</v>
          </cell>
          <cell r="E972" t="str">
            <v>SDN</v>
          </cell>
          <cell r="F972" t="str">
            <v>United Nations Development Programme, Sudan</v>
          </cell>
        </row>
        <row r="973">
          <cell r="B973" t="str">
            <v>SUD-506-G08-H</v>
          </cell>
          <cell r="C973" t="str">
            <v>Financial Closure</v>
          </cell>
          <cell r="D973" t="str">
            <v>High Impact Africa 1</v>
          </cell>
          <cell r="E973" t="str">
            <v>SDN</v>
          </cell>
          <cell r="F973" t="str">
            <v>United Nations Development Programme, Sudan</v>
          </cell>
        </row>
        <row r="974">
          <cell r="B974" t="str">
            <v>SUD-708-G10-M</v>
          </cell>
          <cell r="C974" t="str">
            <v>Active</v>
          </cell>
          <cell r="D974" t="str">
            <v>High Impact Africa 1</v>
          </cell>
          <cell r="E974" t="str">
            <v>SDN</v>
          </cell>
          <cell r="F974" t="str">
            <v>United Nations Development Programme, Sudan</v>
          </cell>
        </row>
        <row r="975">
          <cell r="B975" t="str">
            <v>SUD-809-G12-T</v>
          </cell>
          <cell r="C975" t="str">
            <v>Administratively Closed</v>
          </cell>
          <cell r="D975" t="str">
            <v>High Impact Africa 1</v>
          </cell>
          <cell r="E975" t="str">
            <v>SDN</v>
          </cell>
          <cell r="F975" t="str">
            <v>United Nations Development Programme, Sudan</v>
          </cell>
        </row>
        <row r="976">
          <cell r="B976" t="str">
            <v>SUD-T-UNDP</v>
          </cell>
          <cell r="C976" t="str">
            <v>Active</v>
          </cell>
          <cell r="D976" t="str">
            <v>High Impact Africa 1</v>
          </cell>
          <cell r="E976" t="str">
            <v>SDN</v>
          </cell>
          <cell r="F976" t="str">
            <v>United Nations Development Programme, Sudan</v>
          </cell>
        </row>
        <row r="977">
          <cell r="B977" t="str">
            <v>SUR-305-G01-H</v>
          </cell>
          <cell r="C977" t="str">
            <v>Administratively Closed</v>
          </cell>
          <cell r="D977" t="str">
            <v>Latin America and Caribbean</v>
          </cell>
          <cell r="E977" t="str">
            <v>SUR</v>
          </cell>
          <cell r="F977" t="str">
            <v>Ministry of Health of Suriname</v>
          </cell>
        </row>
        <row r="978">
          <cell r="B978" t="str">
            <v>SUR-404-G02-M</v>
          </cell>
          <cell r="C978" t="str">
            <v>Administratively Closed</v>
          </cell>
          <cell r="D978" t="str">
            <v>Latin America and Caribbean</v>
          </cell>
          <cell r="E978" t="str">
            <v>SUR</v>
          </cell>
          <cell r="F978" t="str">
            <v>Medische Zending - Primary Health Care Suriname</v>
          </cell>
        </row>
        <row r="979">
          <cell r="B979" t="str">
            <v>SUR-506-G03-H</v>
          </cell>
          <cell r="C979" t="str">
            <v>Financial Closure</v>
          </cell>
          <cell r="D979" t="str">
            <v>Latin America and Caribbean</v>
          </cell>
          <cell r="E979" t="str">
            <v>SUR</v>
          </cell>
          <cell r="F979" t="str">
            <v>Ministry of Health of Suriname</v>
          </cell>
        </row>
        <row r="980">
          <cell r="B980" t="str">
            <v>SUR-708-G04-M</v>
          </cell>
          <cell r="C980" t="str">
            <v>Active</v>
          </cell>
          <cell r="D980" t="str">
            <v>Latin America and Caribbean</v>
          </cell>
          <cell r="E980" t="str">
            <v>SUR</v>
          </cell>
          <cell r="F980" t="str">
            <v>Ministry of Health of Suriname</v>
          </cell>
        </row>
        <row r="981">
          <cell r="B981" t="str">
            <v>SUR-910-G05-T</v>
          </cell>
          <cell r="C981" t="str">
            <v>Active</v>
          </cell>
          <cell r="D981" t="str">
            <v>Latin America and Caribbean</v>
          </cell>
          <cell r="E981" t="str">
            <v>SUR</v>
          </cell>
          <cell r="F981" t="str">
            <v>Ministry of Health of Suriname</v>
          </cell>
        </row>
        <row r="982">
          <cell r="B982" t="str">
            <v>SUR-M-MoH</v>
          </cell>
          <cell r="C982" t="str">
            <v>N.D.</v>
          </cell>
          <cell r="D982" t="str">
            <v>Latin America and Caribbean</v>
          </cell>
          <cell r="E982" t="str">
            <v>SUR</v>
          </cell>
          <cell r="F982" t="str">
            <v>Not Defined</v>
          </cell>
        </row>
        <row r="983">
          <cell r="B983" t="str">
            <v>SWZ-202-G01-H-00</v>
          </cell>
          <cell r="C983" t="str">
            <v>Administratively Closed</v>
          </cell>
          <cell r="D983" t="str">
            <v>Southern and Eastern Africa</v>
          </cell>
          <cell r="E983" t="str">
            <v>SWZ</v>
          </cell>
          <cell r="F983" t="str">
            <v>National Emergency Response Council on HIV/AIDS</v>
          </cell>
        </row>
        <row r="984">
          <cell r="B984" t="str">
            <v>SWZ-202-G02-M-00</v>
          </cell>
          <cell r="C984" t="str">
            <v>Administratively Closed</v>
          </cell>
          <cell r="D984" t="str">
            <v>Southern and Eastern Africa</v>
          </cell>
          <cell r="E984" t="str">
            <v>SWZ</v>
          </cell>
          <cell r="F984" t="str">
            <v>National Emergency Response Council on HIV/AIDS</v>
          </cell>
        </row>
        <row r="985">
          <cell r="B985" t="str">
            <v>SWZ-304-G03-T</v>
          </cell>
          <cell r="C985" t="str">
            <v>Administratively Closed</v>
          </cell>
          <cell r="D985" t="str">
            <v>Southern and Eastern Africa</v>
          </cell>
          <cell r="E985" t="str">
            <v>SWZ</v>
          </cell>
          <cell r="F985" t="str">
            <v>National Emergency Response Council on HIV/AIDS</v>
          </cell>
        </row>
        <row r="986">
          <cell r="B986" t="str">
            <v>SWZ-405-G04-H</v>
          </cell>
          <cell r="C986" t="str">
            <v>Administratively Closed</v>
          </cell>
          <cell r="D986" t="str">
            <v>Southern and Eastern Africa</v>
          </cell>
          <cell r="E986" t="str">
            <v>SWZ</v>
          </cell>
          <cell r="F986" t="str">
            <v>National Emergency Response Council on HIV/AIDS</v>
          </cell>
        </row>
        <row r="987">
          <cell r="B987" t="str">
            <v>SWZ-708-G05-H</v>
          </cell>
          <cell r="C987" t="str">
            <v>Active</v>
          </cell>
          <cell r="D987" t="str">
            <v>Southern and Eastern Africa</v>
          </cell>
          <cell r="E987" t="str">
            <v>SWZ</v>
          </cell>
          <cell r="F987" t="str">
            <v>National Emergency Response Council on HIV/AIDS</v>
          </cell>
        </row>
        <row r="988">
          <cell r="B988" t="str">
            <v>SWZ-809-G06-M</v>
          </cell>
          <cell r="C988" t="str">
            <v>Active</v>
          </cell>
          <cell r="D988" t="str">
            <v>Southern and Eastern Africa</v>
          </cell>
          <cell r="E988" t="str">
            <v>SWZ</v>
          </cell>
          <cell r="F988" t="str">
            <v>National Emergency Response Council on HIV/AIDS</v>
          </cell>
        </row>
        <row r="989">
          <cell r="B989" t="str">
            <v>SWZ-809-G07-T</v>
          </cell>
          <cell r="C989" t="str">
            <v>Administratively Closed</v>
          </cell>
          <cell r="D989" t="str">
            <v>Southern and Eastern Africa</v>
          </cell>
          <cell r="E989" t="str">
            <v>SWZ</v>
          </cell>
          <cell r="F989" t="str">
            <v>National Emergency Response Council on HIV/AIDS</v>
          </cell>
        </row>
        <row r="990">
          <cell r="B990" t="str">
            <v>SWZ-809-G08-S</v>
          </cell>
          <cell r="C990" t="str">
            <v>Active</v>
          </cell>
          <cell r="D990" t="str">
            <v>Southern and Eastern Africa</v>
          </cell>
          <cell r="E990" t="str">
            <v>SWZ</v>
          </cell>
          <cell r="F990" t="str">
            <v>National Emergency Response Council on HIV/AIDS</v>
          </cell>
        </row>
        <row r="991">
          <cell r="B991" t="str">
            <v>SWZ-M-NERCHA</v>
          </cell>
          <cell r="C991" t="str">
            <v>Active</v>
          </cell>
          <cell r="D991" t="str">
            <v>Southern and Eastern Africa</v>
          </cell>
          <cell r="E991" t="str">
            <v>SWZ</v>
          </cell>
          <cell r="F991" t="str">
            <v>National Emergency Response Council on HIV/AIDS</v>
          </cell>
        </row>
        <row r="992">
          <cell r="B992" t="str">
            <v>SWZ-T-NERCHA</v>
          </cell>
          <cell r="C992" t="str">
            <v>Active</v>
          </cell>
          <cell r="D992" t="str">
            <v>Southern and Eastern Africa</v>
          </cell>
          <cell r="E992" t="str">
            <v>SWZ</v>
          </cell>
          <cell r="F992" t="str">
            <v>National Emergency Response Council on HIV/AIDS</v>
          </cell>
        </row>
        <row r="993">
          <cell r="B993" t="str">
            <v>SYR-011-G02-H</v>
          </cell>
          <cell r="C993" t="str">
            <v>Active</v>
          </cell>
          <cell r="D993" t="str">
            <v>Middle East and North Africa</v>
          </cell>
          <cell r="E993" t="str">
            <v>SYR</v>
          </cell>
          <cell r="F993" t="str">
            <v>United Nations Development Programme, Syria</v>
          </cell>
        </row>
        <row r="994">
          <cell r="B994" t="str">
            <v>SYR-607-G01-T</v>
          </cell>
          <cell r="C994" t="str">
            <v>Active</v>
          </cell>
          <cell r="D994" t="str">
            <v>Middle East and North Africa</v>
          </cell>
          <cell r="E994" t="str">
            <v>SYR</v>
          </cell>
          <cell r="F994" t="str">
            <v>United Nations Development Programme, Syria</v>
          </cell>
        </row>
        <row r="995">
          <cell r="B995" t="str">
            <v>TAJ-102-G01-H-00</v>
          </cell>
          <cell r="C995" t="str">
            <v>Administratively Closed</v>
          </cell>
          <cell r="D995" t="str">
            <v>Eastern Europe and Central Asia</v>
          </cell>
          <cell r="E995" t="str">
            <v>TJK</v>
          </cell>
          <cell r="F995" t="str">
            <v>United Nations Development Programme, Tajikistan</v>
          </cell>
        </row>
        <row r="996">
          <cell r="B996" t="str">
            <v>TAJ-304-G02-T</v>
          </cell>
          <cell r="C996" t="str">
            <v>Active</v>
          </cell>
          <cell r="D996" t="str">
            <v>Eastern Europe and Central Asia</v>
          </cell>
          <cell r="E996" t="str">
            <v>TJK</v>
          </cell>
          <cell r="F996" t="str">
            <v>Project HOPE, Tajikistan</v>
          </cell>
        </row>
        <row r="997">
          <cell r="B997" t="str">
            <v>TAJ-404-G03-H</v>
          </cell>
          <cell r="C997" t="str">
            <v>Administratively Closed</v>
          </cell>
          <cell r="D997" t="str">
            <v>Eastern Europe and Central Asia</v>
          </cell>
          <cell r="E997" t="str">
            <v>TJK</v>
          </cell>
          <cell r="F997" t="str">
            <v>United Nations Development Programme, Tajikistan</v>
          </cell>
        </row>
        <row r="998">
          <cell r="B998" t="str">
            <v>TAJ-506-G04-M</v>
          </cell>
          <cell r="C998" t="str">
            <v>Administratively Closed</v>
          </cell>
          <cell r="D998" t="str">
            <v>Eastern Europe and Central Asia</v>
          </cell>
          <cell r="E998" t="str">
            <v>TJK</v>
          </cell>
          <cell r="F998" t="str">
            <v>United Nations Development Programme, Tajikistan</v>
          </cell>
        </row>
        <row r="999">
          <cell r="B999" t="str">
            <v>TAJ-607-G05-H</v>
          </cell>
          <cell r="C999" t="str">
            <v>Administratively Closed</v>
          </cell>
          <cell r="D999" t="str">
            <v>Eastern Europe and Central Asia</v>
          </cell>
          <cell r="E999" t="str">
            <v>TJK</v>
          </cell>
          <cell r="F999" t="str">
            <v>United Nations Development Programme, Tajikistan</v>
          </cell>
        </row>
        <row r="1000">
          <cell r="B1000" t="str">
            <v>TAJ-607-G06-T</v>
          </cell>
          <cell r="C1000" t="str">
            <v>Administratively Closed</v>
          </cell>
          <cell r="D1000" t="str">
            <v>Eastern Europe and Central Asia</v>
          </cell>
          <cell r="E1000" t="str">
            <v>TJK</v>
          </cell>
          <cell r="F1000" t="str">
            <v>United Nations Development Programme, Tajikistan</v>
          </cell>
        </row>
        <row r="1001">
          <cell r="B1001" t="str">
            <v>TAJ-809-G07-H</v>
          </cell>
          <cell r="C1001" t="str">
            <v>Active</v>
          </cell>
          <cell r="D1001" t="str">
            <v>Eastern Europe and Central Asia</v>
          </cell>
          <cell r="E1001" t="str">
            <v>TJK</v>
          </cell>
          <cell r="F1001" t="str">
            <v>United Nations Development Programme, Tajikistan</v>
          </cell>
        </row>
        <row r="1002">
          <cell r="B1002" t="str">
            <v>TAJ-809-G08-M</v>
          </cell>
          <cell r="C1002" t="str">
            <v>Active</v>
          </cell>
          <cell r="D1002" t="str">
            <v>Eastern Europe and Central Asia</v>
          </cell>
          <cell r="E1002" t="str">
            <v>TJK</v>
          </cell>
          <cell r="F1002" t="str">
            <v>United Nations Development Programme, Tajikistan</v>
          </cell>
        </row>
        <row r="1003">
          <cell r="B1003" t="str">
            <v>TAJ-809-G09-T</v>
          </cell>
          <cell r="C1003" t="str">
            <v>Active</v>
          </cell>
          <cell r="D1003" t="str">
            <v>Eastern Europe and Central Asia</v>
          </cell>
          <cell r="E1003" t="str">
            <v>TJK</v>
          </cell>
          <cell r="F1003" t="str">
            <v>United Nations Development Programme, Tajikistan</v>
          </cell>
        </row>
        <row r="1004">
          <cell r="B1004" t="str">
            <v>TNZ-102-G01-M-00</v>
          </cell>
          <cell r="C1004" t="str">
            <v>Financial Closure</v>
          </cell>
          <cell r="D1004" t="str">
            <v>High Impact Africa 2</v>
          </cell>
          <cell r="E1004" t="str">
            <v>TZA</v>
          </cell>
          <cell r="F1004" t="str">
            <v>Ministry of Health of Tanzania</v>
          </cell>
        </row>
        <row r="1005">
          <cell r="B1005" t="str">
            <v>TNZ-102-G02-H-00</v>
          </cell>
          <cell r="C1005" t="str">
            <v>Administratively Closed</v>
          </cell>
          <cell r="D1005" t="str">
            <v>High Impact Africa 2</v>
          </cell>
          <cell r="E1005" t="str">
            <v>TZA</v>
          </cell>
          <cell r="F1005" t="str">
            <v>Ministry of Finance of Tanzania</v>
          </cell>
        </row>
        <row r="1006">
          <cell r="B1006" t="str">
            <v>TNZ-304-G03-C</v>
          </cell>
          <cell r="C1006" t="str">
            <v>Financial Closure</v>
          </cell>
          <cell r="D1006" t="str">
            <v>High Impact Africa 2</v>
          </cell>
          <cell r="E1006" t="str">
            <v>TZA</v>
          </cell>
          <cell r="F1006" t="str">
            <v>Ministry of Finance of Tanzania</v>
          </cell>
        </row>
        <row r="1007">
          <cell r="B1007" t="str">
            <v>TNZ-405-G04-H</v>
          </cell>
          <cell r="C1007" t="str">
            <v>Financial Closure</v>
          </cell>
          <cell r="D1007" t="str">
            <v>High Impact Africa 2</v>
          </cell>
          <cell r="E1007" t="str">
            <v>TZA</v>
          </cell>
          <cell r="F1007" t="str">
            <v>Ministry of Finance of Tanzania</v>
          </cell>
        </row>
        <row r="1008">
          <cell r="B1008" t="str">
            <v>TNZ-405-G05-H</v>
          </cell>
          <cell r="C1008" t="str">
            <v>Financial Closure</v>
          </cell>
          <cell r="D1008" t="str">
            <v>High Impact Africa 2</v>
          </cell>
          <cell r="E1008" t="str">
            <v>TZA</v>
          </cell>
          <cell r="F1008" t="str">
            <v>Pact Tanzania</v>
          </cell>
        </row>
        <row r="1009">
          <cell r="B1009" t="str">
            <v>TNZ-405-G06-H</v>
          </cell>
          <cell r="C1009" t="str">
            <v>Active</v>
          </cell>
          <cell r="D1009" t="str">
            <v>High Impact Africa 2</v>
          </cell>
          <cell r="E1009" t="str">
            <v>TZA</v>
          </cell>
          <cell r="F1009" t="str">
            <v>Population Services International, Tanzania</v>
          </cell>
        </row>
        <row r="1010">
          <cell r="B1010" t="str">
            <v>TNZ-405-G07-H</v>
          </cell>
          <cell r="C1010" t="str">
            <v>Financial Closure</v>
          </cell>
          <cell r="D1010" t="str">
            <v>High Impact Africa 2</v>
          </cell>
          <cell r="E1010" t="str">
            <v>TZA</v>
          </cell>
          <cell r="F1010" t="str">
            <v>African Medical and Research Foundation in Tanzania</v>
          </cell>
        </row>
        <row r="1011">
          <cell r="B1011" t="str">
            <v>TNZ-405-G08-M</v>
          </cell>
          <cell r="C1011" t="str">
            <v>Financial Closure</v>
          </cell>
          <cell r="D1011" t="str">
            <v>High Impact Africa 2</v>
          </cell>
          <cell r="E1011" t="str">
            <v>TZA</v>
          </cell>
          <cell r="F1011" t="str">
            <v>Ministry of Finance of Tanzania</v>
          </cell>
        </row>
        <row r="1012">
          <cell r="B1012" t="str">
            <v>TNZ-607-G09-T</v>
          </cell>
          <cell r="C1012" t="str">
            <v>Active</v>
          </cell>
          <cell r="D1012" t="str">
            <v>High Impact Africa 2</v>
          </cell>
          <cell r="E1012" t="str">
            <v>TZA</v>
          </cell>
          <cell r="F1012" t="str">
            <v>Ministry of Finance of Tanzania</v>
          </cell>
        </row>
        <row r="1013">
          <cell r="B1013" t="str">
            <v>TNZ-708-G10-M</v>
          </cell>
          <cell r="C1013" t="str">
            <v>Administratively Closed</v>
          </cell>
          <cell r="D1013" t="str">
            <v>High Impact Africa 2</v>
          </cell>
          <cell r="E1013" t="str">
            <v>TZA</v>
          </cell>
          <cell r="F1013" t="str">
            <v>Ministry of Finance of Tanzania</v>
          </cell>
        </row>
        <row r="1014">
          <cell r="B1014" t="str">
            <v>TNZ-809-G11-M</v>
          </cell>
          <cell r="C1014" t="str">
            <v>Administratively Closed</v>
          </cell>
          <cell r="D1014" t="str">
            <v>High Impact Africa 2</v>
          </cell>
          <cell r="E1014" t="str">
            <v>TZA</v>
          </cell>
          <cell r="F1014" t="str">
            <v>Ministry of Finance of Tanzania</v>
          </cell>
        </row>
        <row r="1015">
          <cell r="B1015" t="str">
            <v>TNZ-809-G12-H</v>
          </cell>
          <cell r="C1015" t="str">
            <v>Active</v>
          </cell>
          <cell r="D1015" t="str">
            <v>High Impact Africa 2</v>
          </cell>
          <cell r="E1015" t="str">
            <v>TZA</v>
          </cell>
          <cell r="F1015" t="str">
            <v>African Medical and Research Foundation in Tanzania</v>
          </cell>
        </row>
        <row r="1016">
          <cell r="B1016" t="str">
            <v>TNZ-809-G13-H</v>
          </cell>
          <cell r="C1016" t="str">
            <v>Active</v>
          </cell>
          <cell r="D1016" t="str">
            <v>High Impact Africa 2</v>
          </cell>
          <cell r="E1016" t="str">
            <v>TZA</v>
          </cell>
          <cell r="F1016" t="str">
            <v>Ministry of Finance of Tanzania</v>
          </cell>
        </row>
        <row r="1017">
          <cell r="B1017" t="str">
            <v>TNZ-911-G14-S</v>
          </cell>
          <cell r="C1017" t="str">
            <v>Active</v>
          </cell>
          <cell r="D1017" t="str">
            <v>High Impact Africa 2</v>
          </cell>
          <cell r="E1017" t="str">
            <v>TZA</v>
          </cell>
          <cell r="F1017" t="str">
            <v>Ministry of Finance of Tanzania</v>
          </cell>
        </row>
        <row r="1018">
          <cell r="B1018" t="str">
            <v>TNZ-M-MOFEA</v>
          </cell>
          <cell r="C1018" t="str">
            <v>Active</v>
          </cell>
          <cell r="D1018" t="str">
            <v>High Impact Africa 2</v>
          </cell>
          <cell r="E1018" t="str">
            <v>TZA</v>
          </cell>
          <cell r="F1018" t="str">
            <v>Ministry of Finance of Tanzania</v>
          </cell>
        </row>
        <row r="1019">
          <cell r="B1019" t="str">
            <v>THA-102-G01-H-00</v>
          </cell>
          <cell r="C1019" t="str">
            <v>Administratively Closed</v>
          </cell>
          <cell r="D1019" t="str">
            <v>High Impact Asia</v>
          </cell>
          <cell r="E1019" t="str">
            <v>THA</v>
          </cell>
          <cell r="F1019" t="str">
            <v>Ministry of Public Health of Thailand</v>
          </cell>
        </row>
        <row r="1020">
          <cell r="B1020" t="str">
            <v>THA-102-G02-T-00</v>
          </cell>
          <cell r="C1020" t="str">
            <v>Administratively Closed</v>
          </cell>
          <cell r="D1020" t="str">
            <v>High Impact Asia</v>
          </cell>
          <cell r="E1020" t="str">
            <v>THA</v>
          </cell>
          <cell r="F1020" t="str">
            <v>Ministry of Public Health of Thailand</v>
          </cell>
        </row>
        <row r="1021">
          <cell r="B1021" t="str">
            <v>THA-202-G03-H-00</v>
          </cell>
          <cell r="C1021" t="str">
            <v>Administratively Closed</v>
          </cell>
          <cell r="D1021" t="str">
            <v>High Impact Asia</v>
          </cell>
          <cell r="E1021" t="str">
            <v>THA</v>
          </cell>
          <cell r="F1021" t="str">
            <v>Raks Thai Foundation</v>
          </cell>
        </row>
        <row r="1022">
          <cell r="B1022" t="str">
            <v>THA-202-G04-H-00</v>
          </cell>
          <cell r="C1022" t="str">
            <v>Administratively Closed</v>
          </cell>
          <cell r="D1022" t="str">
            <v>High Impact Asia</v>
          </cell>
          <cell r="E1022" t="str">
            <v>THA</v>
          </cell>
          <cell r="F1022" t="str">
            <v>Ministry of Public Health of Thailand</v>
          </cell>
        </row>
        <row r="1023">
          <cell r="B1023" t="str">
            <v>THA-202-G05-M-00</v>
          </cell>
          <cell r="C1023" t="str">
            <v>Administratively Closed</v>
          </cell>
          <cell r="D1023" t="str">
            <v>High Impact Asia</v>
          </cell>
          <cell r="E1023" t="str">
            <v>THA</v>
          </cell>
          <cell r="F1023" t="str">
            <v>Ministry of Public Health of Thailand</v>
          </cell>
        </row>
        <row r="1024">
          <cell r="B1024" t="str">
            <v>THA-304-G06-H</v>
          </cell>
          <cell r="C1024" t="str">
            <v>Administratively Closed</v>
          </cell>
          <cell r="D1024" t="str">
            <v>High Impact Asia</v>
          </cell>
          <cell r="E1024" t="str">
            <v>THA</v>
          </cell>
          <cell r="F1024" t="str">
            <v>Raks Thai Foundation</v>
          </cell>
        </row>
        <row r="1025">
          <cell r="B1025" t="str">
            <v>THA-607-G07-T</v>
          </cell>
          <cell r="C1025" t="str">
            <v>Financial Closure</v>
          </cell>
          <cell r="D1025" t="str">
            <v>High Impact Asia</v>
          </cell>
          <cell r="E1025" t="str">
            <v>THA</v>
          </cell>
          <cell r="F1025" t="str">
            <v>Ministry of Public Health of Thailand</v>
          </cell>
        </row>
        <row r="1026">
          <cell r="B1026" t="str">
            <v>THA-607-G08-T</v>
          </cell>
          <cell r="C1026" t="str">
            <v>Financial Closure</v>
          </cell>
          <cell r="D1026" t="str">
            <v>High Impact Asia</v>
          </cell>
          <cell r="E1026" t="str">
            <v>THA</v>
          </cell>
          <cell r="F1026" t="str">
            <v>World Vision Thailand</v>
          </cell>
        </row>
        <row r="1027">
          <cell r="B1027" t="str">
            <v>THA-708-G09-M</v>
          </cell>
          <cell r="C1027" t="str">
            <v>Administratively Closed</v>
          </cell>
          <cell r="D1027" t="str">
            <v>High Impact Asia</v>
          </cell>
          <cell r="E1027" t="str">
            <v>THA</v>
          </cell>
          <cell r="F1027" t="str">
            <v>Ministry of Public Health of Thailand</v>
          </cell>
        </row>
        <row r="1028">
          <cell r="B1028" t="str">
            <v>THA-809-G10-H</v>
          </cell>
          <cell r="C1028" t="str">
            <v>Administratively Closed</v>
          </cell>
          <cell r="D1028" t="str">
            <v>High Impact Asia</v>
          </cell>
          <cell r="E1028" t="str">
            <v>THA</v>
          </cell>
          <cell r="F1028" t="str">
            <v>Ministry of Public Health of Thailand</v>
          </cell>
        </row>
        <row r="1029">
          <cell r="B1029" t="str">
            <v>THA-809-G11-H</v>
          </cell>
          <cell r="C1029" t="str">
            <v>Administratively Closed</v>
          </cell>
          <cell r="D1029" t="str">
            <v>High Impact Asia</v>
          </cell>
          <cell r="E1029" t="str">
            <v>THA</v>
          </cell>
          <cell r="F1029" t="str">
            <v>Population Services International, USA</v>
          </cell>
        </row>
        <row r="1030">
          <cell r="B1030" t="str">
            <v>THA-809-G12-H</v>
          </cell>
          <cell r="C1030" t="str">
            <v>Administratively Closed</v>
          </cell>
          <cell r="D1030" t="str">
            <v>High Impact Asia</v>
          </cell>
          <cell r="E1030" t="str">
            <v>THA</v>
          </cell>
          <cell r="F1030" t="str">
            <v>Raks Thai Foundation</v>
          </cell>
        </row>
        <row r="1031">
          <cell r="B1031" t="str">
            <v>THA-809-G13-T</v>
          </cell>
          <cell r="C1031" t="str">
            <v>Administratively Closed</v>
          </cell>
          <cell r="D1031" t="str">
            <v>High Impact Asia</v>
          </cell>
          <cell r="E1031" t="str">
            <v>THA</v>
          </cell>
          <cell r="F1031" t="str">
            <v>Ministry of Public Health of Thailand</v>
          </cell>
        </row>
        <row r="1032">
          <cell r="B1032" t="str">
            <v>THA-C-DDC</v>
          </cell>
          <cell r="C1032" t="str">
            <v>Active</v>
          </cell>
          <cell r="D1032" t="str">
            <v>High Impact Asia</v>
          </cell>
          <cell r="E1032" t="str">
            <v>THA</v>
          </cell>
          <cell r="F1032" t="str">
            <v>Ministry of Public Health of Thailand</v>
          </cell>
        </row>
        <row r="1033">
          <cell r="B1033" t="str">
            <v>THA-C-RTF</v>
          </cell>
          <cell r="C1033" t="str">
            <v>Active</v>
          </cell>
          <cell r="D1033" t="str">
            <v>High Impact Asia</v>
          </cell>
          <cell r="E1033" t="str">
            <v>THA</v>
          </cell>
          <cell r="F1033" t="str">
            <v>Raks Thai Foundation</v>
          </cell>
        </row>
        <row r="1034">
          <cell r="B1034" t="str">
            <v>THA-H-ACC</v>
          </cell>
          <cell r="C1034" t="str">
            <v>Active</v>
          </cell>
          <cell r="D1034" t="str">
            <v>High Impact Asia</v>
          </cell>
          <cell r="E1034" t="str">
            <v>THA</v>
          </cell>
          <cell r="F1034" t="str">
            <v>Aids Access Foundation</v>
          </cell>
        </row>
        <row r="1035">
          <cell r="B1035" t="str">
            <v>THA-H-DDC</v>
          </cell>
          <cell r="C1035" t="str">
            <v>Active</v>
          </cell>
          <cell r="D1035" t="str">
            <v>High Impact Asia</v>
          </cell>
          <cell r="E1035" t="str">
            <v>THA</v>
          </cell>
          <cell r="F1035" t="str">
            <v>Ministry of Public Health of Thailand</v>
          </cell>
        </row>
        <row r="1036">
          <cell r="B1036" t="str">
            <v>THA-H-PSI</v>
          </cell>
          <cell r="C1036" t="str">
            <v>Active</v>
          </cell>
          <cell r="D1036" t="str">
            <v>High Impact Asia</v>
          </cell>
          <cell r="E1036" t="str">
            <v>THA</v>
          </cell>
          <cell r="F1036" t="str">
            <v>Population Services International, USA</v>
          </cell>
        </row>
        <row r="1037">
          <cell r="B1037" t="str">
            <v>THA-H-RTF</v>
          </cell>
          <cell r="C1037" t="str">
            <v>Active</v>
          </cell>
          <cell r="D1037" t="str">
            <v>High Impact Asia</v>
          </cell>
          <cell r="E1037" t="str">
            <v>THA</v>
          </cell>
          <cell r="F1037" t="str">
            <v>Raks Thai Foundation</v>
          </cell>
        </row>
        <row r="1038">
          <cell r="B1038" t="str">
            <v>THA-M-DDC</v>
          </cell>
          <cell r="C1038" t="str">
            <v>Active</v>
          </cell>
          <cell r="D1038" t="str">
            <v>High Impact Asia</v>
          </cell>
          <cell r="E1038" t="str">
            <v>THA</v>
          </cell>
          <cell r="F1038" t="str">
            <v>Ministry of Public Health of Thailand</v>
          </cell>
        </row>
        <row r="1039">
          <cell r="B1039" t="str">
            <v>THA-T-DDC</v>
          </cell>
          <cell r="C1039" t="str">
            <v>Active</v>
          </cell>
          <cell r="D1039" t="str">
            <v>High Impact Asia</v>
          </cell>
          <cell r="E1039" t="str">
            <v>THA</v>
          </cell>
          <cell r="F1039" t="str">
            <v>Ministry of Public Health of Thailand</v>
          </cell>
        </row>
        <row r="1040">
          <cell r="B1040" t="str">
            <v>TLS-708-G04-T</v>
          </cell>
          <cell r="C1040" t="str">
            <v>Active</v>
          </cell>
          <cell r="D1040" t="str">
            <v>South East Asia</v>
          </cell>
          <cell r="E1040" t="str">
            <v>TLS</v>
          </cell>
          <cell r="F1040" t="str">
            <v>Ministry of Health of Timor-Leste</v>
          </cell>
        </row>
        <row r="1041">
          <cell r="B1041" t="str">
            <v>TLS-H-MOH</v>
          </cell>
          <cell r="C1041" t="str">
            <v>Active</v>
          </cell>
          <cell r="D1041" t="str">
            <v>South East Asia</v>
          </cell>
          <cell r="E1041" t="str">
            <v>TLS</v>
          </cell>
          <cell r="F1041" t="str">
            <v>Ministry of Health of Timor-Leste</v>
          </cell>
        </row>
        <row r="1042">
          <cell r="B1042" t="str">
            <v>TLS-M-MOH</v>
          </cell>
          <cell r="C1042" t="str">
            <v>Active</v>
          </cell>
          <cell r="D1042" t="str">
            <v>South East Asia</v>
          </cell>
          <cell r="E1042" t="str">
            <v>TLS</v>
          </cell>
          <cell r="F1042" t="str">
            <v>Ministry of Health of Timor-Leste</v>
          </cell>
        </row>
        <row r="1043">
          <cell r="B1043" t="str">
            <v>TMP-202-G01-M-00</v>
          </cell>
          <cell r="C1043" t="str">
            <v>Administratively Closed</v>
          </cell>
          <cell r="D1043" t="str">
            <v>South East Asia</v>
          </cell>
          <cell r="E1043" t="str">
            <v>TLS</v>
          </cell>
          <cell r="F1043" t="str">
            <v>Ministry of Health of Timor-Leste</v>
          </cell>
        </row>
        <row r="1044">
          <cell r="B1044" t="str">
            <v>TMP-304-G02-T</v>
          </cell>
          <cell r="C1044" t="str">
            <v>Administratively Closed</v>
          </cell>
          <cell r="D1044" t="str">
            <v>South East Asia</v>
          </cell>
          <cell r="E1044" t="str">
            <v>TLS</v>
          </cell>
          <cell r="F1044" t="str">
            <v>Ministry of Health of Timor-Leste</v>
          </cell>
        </row>
        <row r="1045">
          <cell r="B1045" t="str">
            <v>TMP-506-G03-H</v>
          </cell>
          <cell r="C1045" t="str">
            <v>Administratively Closed</v>
          </cell>
          <cell r="D1045" t="str">
            <v>South East Asia</v>
          </cell>
          <cell r="E1045" t="str">
            <v>TLS</v>
          </cell>
          <cell r="F1045" t="str">
            <v>Ministry of Health of Timor-Leste</v>
          </cell>
        </row>
        <row r="1046">
          <cell r="B1046" t="str">
            <v>TMP-709-G05-M</v>
          </cell>
          <cell r="C1046" t="str">
            <v>Administratively Closed</v>
          </cell>
          <cell r="D1046" t="str">
            <v>South East Asia</v>
          </cell>
          <cell r="E1046" t="str">
            <v>TLS</v>
          </cell>
          <cell r="F1046" t="str">
            <v>Ministry of Health of Timor-Leste</v>
          </cell>
        </row>
        <row r="1047">
          <cell r="B1047" t="str">
            <v>TGO-202-G01-H-00</v>
          </cell>
          <cell r="C1047" t="str">
            <v>Administratively Closed</v>
          </cell>
          <cell r="D1047" t="str">
            <v>Central Africa</v>
          </cell>
          <cell r="E1047" t="str">
            <v>TGO</v>
          </cell>
          <cell r="F1047" t="str">
            <v>United Nations Development Programme, Togo</v>
          </cell>
        </row>
        <row r="1048">
          <cell r="B1048" t="str">
            <v>TGO-304-G02-M</v>
          </cell>
          <cell r="C1048" t="str">
            <v>Administratively Closed</v>
          </cell>
          <cell r="D1048" t="str">
            <v>Central Africa</v>
          </cell>
          <cell r="E1048" t="str">
            <v>TGO</v>
          </cell>
          <cell r="F1048" t="str">
            <v>United Nations Development Programme, Togo</v>
          </cell>
        </row>
        <row r="1049">
          <cell r="B1049" t="str">
            <v>TGO-304-G03-T</v>
          </cell>
          <cell r="C1049" t="str">
            <v>Administratively Closed</v>
          </cell>
          <cell r="D1049" t="str">
            <v>Central Africa</v>
          </cell>
          <cell r="E1049" t="str">
            <v>TGO</v>
          </cell>
          <cell r="F1049" t="str">
            <v>United Nations Development Programme, Togo</v>
          </cell>
        </row>
        <row r="1050">
          <cell r="B1050" t="str">
            <v>TGO-405-G04-H</v>
          </cell>
          <cell r="C1050" t="str">
            <v>Financial Closure</v>
          </cell>
          <cell r="D1050" t="str">
            <v>Central Africa</v>
          </cell>
          <cell r="E1050" t="str">
            <v>TGO</v>
          </cell>
          <cell r="F1050" t="str">
            <v>Population Services International, Togo</v>
          </cell>
        </row>
        <row r="1051">
          <cell r="B1051" t="str">
            <v>TGO-405-G05-M</v>
          </cell>
          <cell r="C1051" t="str">
            <v>Administratively Closed</v>
          </cell>
          <cell r="D1051" t="str">
            <v>Central Africa</v>
          </cell>
          <cell r="E1051" t="str">
            <v>TGO</v>
          </cell>
          <cell r="F1051" t="str">
            <v>United Nations Development Programme, Togo</v>
          </cell>
        </row>
        <row r="1052">
          <cell r="B1052" t="str">
            <v>TGO-607-G06-M</v>
          </cell>
          <cell r="C1052" t="str">
            <v>Administratively Closed</v>
          </cell>
          <cell r="D1052" t="str">
            <v>Central Africa</v>
          </cell>
          <cell r="E1052" t="str">
            <v>TGO</v>
          </cell>
          <cell r="F1052" t="str">
            <v>United Nations Development Programme, Togo</v>
          </cell>
        </row>
        <row r="1053">
          <cell r="B1053" t="str">
            <v>TGO-607-G07-T</v>
          </cell>
          <cell r="C1053" t="str">
            <v>Administratively Closed</v>
          </cell>
          <cell r="D1053" t="str">
            <v>Central Africa</v>
          </cell>
          <cell r="E1053" t="str">
            <v>TGO</v>
          </cell>
          <cell r="F1053" t="str">
            <v>United Nations Development Programme, Togo</v>
          </cell>
        </row>
        <row r="1054">
          <cell r="B1054" t="str">
            <v>TGO-809-G08-H</v>
          </cell>
          <cell r="C1054" t="str">
            <v>Active</v>
          </cell>
          <cell r="D1054" t="str">
            <v>Central Africa</v>
          </cell>
          <cell r="E1054" t="str">
            <v>TGO</v>
          </cell>
          <cell r="F1054" t="str">
            <v>Ministry of Health of Togo</v>
          </cell>
        </row>
        <row r="1055">
          <cell r="B1055" t="str">
            <v>TGO-809-G09-H</v>
          </cell>
          <cell r="C1055" t="str">
            <v>Active</v>
          </cell>
          <cell r="D1055" t="str">
            <v>Central Africa</v>
          </cell>
          <cell r="E1055" t="str">
            <v>TGO</v>
          </cell>
          <cell r="F1055" t="str">
            <v>Population Services International, Togo</v>
          </cell>
        </row>
        <row r="1056">
          <cell r="B1056" t="str">
            <v>TGO-910-G10-M</v>
          </cell>
          <cell r="C1056" t="str">
            <v>Active</v>
          </cell>
          <cell r="D1056" t="str">
            <v>Central Africa</v>
          </cell>
          <cell r="E1056" t="str">
            <v>TGO</v>
          </cell>
          <cell r="F1056" t="str">
            <v>Plan International Togo</v>
          </cell>
        </row>
        <row r="1057">
          <cell r="B1057" t="str">
            <v>TGO-910-G11-M</v>
          </cell>
          <cell r="C1057" t="str">
            <v>Active</v>
          </cell>
          <cell r="D1057" t="str">
            <v>Central Africa</v>
          </cell>
          <cell r="E1057" t="str">
            <v>TGO</v>
          </cell>
          <cell r="F1057" t="str">
            <v>Ministry of Health of Togo</v>
          </cell>
        </row>
        <row r="1058">
          <cell r="B1058" t="str">
            <v>TGO-T12-G12-T</v>
          </cell>
          <cell r="C1058" t="str">
            <v>Active</v>
          </cell>
          <cell r="D1058" t="str">
            <v>Central Africa</v>
          </cell>
          <cell r="E1058" t="str">
            <v>TGO</v>
          </cell>
          <cell r="F1058" t="str">
            <v>Ministry of Health of Togo</v>
          </cell>
        </row>
        <row r="1059">
          <cell r="B1059" t="str">
            <v>TUN-607-G01-H</v>
          </cell>
          <cell r="C1059" t="str">
            <v>Active</v>
          </cell>
          <cell r="D1059" t="str">
            <v>Middle East and North Africa</v>
          </cell>
          <cell r="E1059" t="str">
            <v>TUN</v>
          </cell>
          <cell r="F1059" t="str">
            <v>National Office for Family and Population</v>
          </cell>
        </row>
        <row r="1060">
          <cell r="B1060" t="str">
            <v>TUN-810-G02-T</v>
          </cell>
          <cell r="C1060" t="str">
            <v>Active</v>
          </cell>
          <cell r="D1060" t="str">
            <v>Middle East and North Africa</v>
          </cell>
          <cell r="E1060" t="str">
            <v>TUN</v>
          </cell>
          <cell r="F1060" t="str">
            <v>Direction des Soins de Santé de Base, Government of Tunisia</v>
          </cell>
        </row>
        <row r="1061">
          <cell r="B1061" t="str">
            <v>TUN-810-G03-T</v>
          </cell>
          <cell r="C1061" t="str">
            <v>Active</v>
          </cell>
          <cell r="D1061" t="str">
            <v>Middle East and North Africa</v>
          </cell>
          <cell r="E1061" t="str">
            <v>TUN</v>
          </cell>
          <cell r="F1061" t="str">
            <v>Société Tunisienne des Maladies Respiratoires</v>
          </cell>
        </row>
        <row r="1062">
          <cell r="B1062" t="str">
            <v>TUR-405-G01-H</v>
          </cell>
          <cell r="C1062" t="str">
            <v>Administratively Closed</v>
          </cell>
          <cell r="D1062" t="str">
            <v>Eastern Europe and Central Asia</v>
          </cell>
          <cell r="E1062" t="str">
            <v>TUR</v>
          </cell>
          <cell r="F1062" t="str">
            <v>Ministry of Health of Turkey</v>
          </cell>
        </row>
        <row r="1063">
          <cell r="B1063" t="str">
            <v>TKM-910-G01-T</v>
          </cell>
          <cell r="C1063" t="str">
            <v>Active</v>
          </cell>
          <cell r="D1063" t="str">
            <v>Eastern Europe and Central Asia</v>
          </cell>
          <cell r="E1063" t="str">
            <v>TKM</v>
          </cell>
          <cell r="F1063" t="str">
            <v>United Nations Development Programme, Turkmenistan</v>
          </cell>
        </row>
        <row r="1064">
          <cell r="B1064" t="str">
            <v>UGA-M-MoFPED</v>
          </cell>
          <cell r="C1064" t="str">
            <v>Active</v>
          </cell>
          <cell r="D1064" t="str">
            <v>High Impact Africa 2</v>
          </cell>
          <cell r="E1064" t="str">
            <v>UGA</v>
          </cell>
          <cell r="F1064" t="str">
            <v>Ministry of Finance, Planning and Economic Development of Uganda</v>
          </cell>
        </row>
        <row r="1065">
          <cell r="B1065" t="str">
            <v>UGA-M-TASO</v>
          </cell>
          <cell r="C1065" t="str">
            <v>Active</v>
          </cell>
          <cell r="D1065" t="str">
            <v>High Impact Africa 2</v>
          </cell>
          <cell r="E1065" t="str">
            <v>UGA</v>
          </cell>
          <cell r="F1065" t="str">
            <v>The AIDS Support Organisation (Uganda) Limited</v>
          </cell>
        </row>
        <row r="1066">
          <cell r="B1066" t="str">
            <v>UGD-011-G09-S</v>
          </cell>
          <cell r="C1066" t="str">
            <v>Active</v>
          </cell>
          <cell r="D1066" t="str">
            <v>High Impact Africa 2</v>
          </cell>
          <cell r="E1066" t="str">
            <v>UGA</v>
          </cell>
          <cell r="F1066" t="str">
            <v>Ministry of Finance, Planning and Economic Development of Uganda</v>
          </cell>
        </row>
        <row r="1067">
          <cell r="B1067" t="str">
            <v>UGD-011-G10-S</v>
          </cell>
          <cell r="C1067" t="str">
            <v>Active</v>
          </cell>
          <cell r="D1067" t="str">
            <v>High Impact Africa 2</v>
          </cell>
          <cell r="E1067" t="str">
            <v>UGA</v>
          </cell>
          <cell r="F1067" t="str">
            <v>The AIDS Support Organisation (Uganda) Limited</v>
          </cell>
        </row>
        <row r="1068">
          <cell r="B1068" t="str">
            <v>UGD-011-G11-M</v>
          </cell>
          <cell r="C1068" t="str">
            <v>Active</v>
          </cell>
          <cell r="D1068" t="str">
            <v>High Impact Africa 2</v>
          </cell>
          <cell r="E1068" t="str">
            <v>UGA</v>
          </cell>
          <cell r="F1068" t="str">
            <v>Ministry of Finance, Planning and Economic Development of Uganda</v>
          </cell>
        </row>
        <row r="1069">
          <cell r="B1069" t="str">
            <v>UGD-011-G12-M</v>
          </cell>
          <cell r="C1069" t="str">
            <v>Active</v>
          </cell>
          <cell r="D1069" t="str">
            <v>High Impact Africa 2</v>
          </cell>
          <cell r="E1069" t="str">
            <v>UGA</v>
          </cell>
          <cell r="F1069" t="str">
            <v>The AIDS Support Organisation (Uganda) Limited</v>
          </cell>
        </row>
        <row r="1070">
          <cell r="B1070" t="str">
            <v>UGD-102-G01-H-00</v>
          </cell>
          <cell r="C1070" t="str">
            <v>Administratively Closed</v>
          </cell>
          <cell r="D1070" t="str">
            <v>High Impact Africa 2</v>
          </cell>
          <cell r="E1070" t="str">
            <v>UGA</v>
          </cell>
          <cell r="F1070" t="str">
            <v>Ministry of Finance, Planning and Economic Development of Uganda</v>
          </cell>
        </row>
        <row r="1071">
          <cell r="B1071" t="str">
            <v>UGD-202-G02-M-00</v>
          </cell>
          <cell r="C1071" t="str">
            <v>Administratively Closed</v>
          </cell>
          <cell r="D1071" t="str">
            <v>High Impact Africa 2</v>
          </cell>
          <cell r="E1071" t="str">
            <v>UGA</v>
          </cell>
          <cell r="F1071" t="str">
            <v>Ministry of Finance, Planning and Economic Development of Uganda</v>
          </cell>
        </row>
        <row r="1072">
          <cell r="B1072" t="str">
            <v>UGD-202-G03-T-00</v>
          </cell>
          <cell r="C1072" t="str">
            <v>Administratively Closed</v>
          </cell>
          <cell r="D1072" t="str">
            <v>High Impact Africa 2</v>
          </cell>
          <cell r="E1072" t="str">
            <v>UGA</v>
          </cell>
          <cell r="F1072" t="str">
            <v>Ministry of Finance, Planning and Economic Development of Uganda</v>
          </cell>
        </row>
        <row r="1073">
          <cell r="B1073" t="str">
            <v>UGD-304-G04-H</v>
          </cell>
          <cell r="C1073" t="str">
            <v>Financial Closure</v>
          </cell>
          <cell r="D1073" t="str">
            <v>High Impact Africa 2</v>
          </cell>
          <cell r="E1073" t="str">
            <v>UGA</v>
          </cell>
          <cell r="F1073" t="str">
            <v>Ministry of Finance, Planning and Economic Development of Uganda</v>
          </cell>
        </row>
        <row r="1074">
          <cell r="B1074" t="str">
            <v>UGD-405-G05-M</v>
          </cell>
          <cell r="C1074" t="str">
            <v>Financial Closure</v>
          </cell>
          <cell r="D1074" t="str">
            <v>High Impact Africa 2</v>
          </cell>
          <cell r="E1074" t="str">
            <v>UGA</v>
          </cell>
          <cell r="F1074" t="str">
            <v>Ministry of Finance, Planning and Economic Development of Uganda</v>
          </cell>
        </row>
        <row r="1075">
          <cell r="B1075" t="str">
            <v>UGD-607-G06-T</v>
          </cell>
          <cell r="C1075" t="str">
            <v>Administratively Closed</v>
          </cell>
          <cell r="D1075" t="str">
            <v>High Impact Africa 2</v>
          </cell>
          <cell r="E1075" t="str">
            <v>UGA</v>
          </cell>
          <cell r="F1075" t="str">
            <v>Ministry of Finance, Planning and Economic Development of Uganda</v>
          </cell>
        </row>
        <row r="1076">
          <cell r="B1076" t="str">
            <v>UGD-708-G07-H</v>
          </cell>
          <cell r="C1076" t="str">
            <v>Active</v>
          </cell>
          <cell r="D1076" t="str">
            <v>High Impact Africa 2</v>
          </cell>
          <cell r="E1076" t="str">
            <v>UGA</v>
          </cell>
          <cell r="F1076" t="str">
            <v>Ministry of Finance, Planning and Economic Development of Uganda</v>
          </cell>
        </row>
        <row r="1077">
          <cell r="B1077" t="str">
            <v>UGD-708-G08-M</v>
          </cell>
          <cell r="C1077" t="str">
            <v>Active</v>
          </cell>
          <cell r="D1077" t="str">
            <v>High Impact Africa 2</v>
          </cell>
          <cell r="E1077" t="str">
            <v>UGA</v>
          </cell>
          <cell r="F1077" t="str">
            <v>Ministry of Finance, Planning and Economic Development of Uganda</v>
          </cell>
        </row>
        <row r="1078">
          <cell r="B1078" t="str">
            <v>UGD-708-G13-H</v>
          </cell>
          <cell r="C1078" t="str">
            <v>Active</v>
          </cell>
          <cell r="D1078" t="str">
            <v>High Impact Africa 2</v>
          </cell>
          <cell r="E1078" t="str">
            <v>UGA</v>
          </cell>
          <cell r="F1078" t="str">
            <v>The AIDS Support Organisation (Uganda) Limited</v>
          </cell>
        </row>
        <row r="1079">
          <cell r="B1079" t="str">
            <v>UGD-T-MoFPED</v>
          </cell>
          <cell r="C1079" t="str">
            <v>Active</v>
          </cell>
          <cell r="D1079" t="str">
            <v>High Impact Africa 2</v>
          </cell>
          <cell r="E1079" t="str">
            <v>UGA</v>
          </cell>
          <cell r="F1079" t="str">
            <v>Ministry of Finance, Planning and Economic Development of Uganda</v>
          </cell>
        </row>
        <row r="1080">
          <cell r="B1080" t="str">
            <v>UKR-011-G08-H</v>
          </cell>
          <cell r="C1080" t="str">
            <v>Active</v>
          </cell>
          <cell r="D1080" t="str">
            <v>Eastern Europe and Central Asia</v>
          </cell>
          <cell r="E1080" t="str">
            <v>UKR</v>
          </cell>
          <cell r="F1080" t="str">
            <v>International HIV/AIDS Alliance, Ukraine</v>
          </cell>
        </row>
        <row r="1081">
          <cell r="B1081" t="str">
            <v>UKR-011-G09-H</v>
          </cell>
          <cell r="C1081" t="str">
            <v>Active</v>
          </cell>
          <cell r="D1081" t="str">
            <v>Eastern Europe and Central Asia</v>
          </cell>
          <cell r="E1081" t="str">
            <v>UKR</v>
          </cell>
          <cell r="F1081" t="str">
            <v>All-Ukrainian Network of People Living with HIV/AIDS</v>
          </cell>
        </row>
        <row r="1082">
          <cell r="B1082" t="str">
            <v>UKR-011-G10-H</v>
          </cell>
          <cell r="C1082" t="str">
            <v>Active</v>
          </cell>
          <cell r="D1082" t="str">
            <v>Eastern Europe and Central Asia</v>
          </cell>
          <cell r="E1082" t="str">
            <v>UKR</v>
          </cell>
          <cell r="F1082" t="str">
            <v>Ukrainian Center for Socially Dangerous Disease Control of the Ministry of Health of Ukraine</v>
          </cell>
        </row>
        <row r="1083">
          <cell r="B1083" t="str">
            <v>UKR-102-A04-H-00</v>
          </cell>
          <cell r="C1083" t="str">
            <v>Administratively Closed</v>
          </cell>
          <cell r="D1083" t="str">
            <v>Eastern Europe and Central Asia</v>
          </cell>
          <cell r="E1083" t="str">
            <v>UKR</v>
          </cell>
          <cell r="F1083" t="str">
            <v>International HIV/AIDS Alliance, Ukraine</v>
          </cell>
        </row>
        <row r="1084">
          <cell r="B1084" t="str">
            <v>UKR-102-G01-H-00</v>
          </cell>
          <cell r="C1084" t="str">
            <v>Administratively Closed</v>
          </cell>
          <cell r="D1084" t="str">
            <v>Eastern Europe and Central Asia</v>
          </cell>
          <cell r="E1084" t="str">
            <v>UKR</v>
          </cell>
          <cell r="F1084" t="str">
            <v>Ukrainian Fund to Fight HIV Infection and AIDS</v>
          </cell>
        </row>
        <row r="1085">
          <cell r="B1085" t="str">
            <v>UKR-102-G02-H-00</v>
          </cell>
          <cell r="C1085" t="str">
            <v>Administratively Closed</v>
          </cell>
          <cell r="D1085" t="str">
            <v>Eastern Europe and Central Asia</v>
          </cell>
          <cell r="E1085" t="str">
            <v>UKR</v>
          </cell>
          <cell r="F1085" t="str">
            <v>Ukrainian Center for Socially Dangerous Disease Control of the Ministry of Health of Ukraine</v>
          </cell>
        </row>
        <row r="1086">
          <cell r="B1086" t="str">
            <v>UKR-102-G03-H-00</v>
          </cell>
          <cell r="C1086" t="str">
            <v>Administratively Closed</v>
          </cell>
          <cell r="D1086" t="str">
            <v>Eastern Europe and Central Asia</v>
          </cell>
          <cell r="E1086" t="str">
            <v>UKR</v>
          </cell>
          <cell r="F1086" t="str">
            <v>United Nations Development Programme, Ukraine</v>
          </cell>
        </row>
        <row r="1087">
          <cell r="B1087" t="str">
            <v>UKR-102-G04-H-00</v>
          </cell>
          <cell r="C1087" t="str">
            <v>Administratively Closed</v>
          </cell>
          <cell r="D1087" t="str">
            <v>Eastern Europe and Central Asia</v>
          </cell>
          <cell r="E1087" t="str">
            <v>UKR</v>
          </cell>
          <cell r="F1087" t="str">
            <v>International HIV/AIDS Alliance, Ukraine</v>
          </cell>
        </row>
        <row r="1088">
          <cell r="B1088" t="str">
            <v>UKR-607-G05-H</v>
          </cell>
          <cell r="C1088" t="str">
            <v>Financial Closure</v>
          </cell>
          <cell r="D1088" t="str">
            <v>Eastern Europe and Central Asia</v>
          </cell>
          <cell r="E1088" t="str">
            <v>UKR</v>
          </cell>
          <cell r="F1088" t="str">
            <v>International HIV/AIDS Alliance, Ukraine</v>
          </cell>
        </row>
        <row r="1089">
          <cell r="B1089" t="str">
            <v>UKR-607-G06-H</v>
          </cell>
          <cell r="C1089" t="str">
            <v>Financial Closure</v>
          </cell>
          <cell r="D1089" t="str">
            <v>Eastern Europe and Central Asia</v>
          </cell>
          <cell r="E1089" t="str">
            <v>UKR</v>
          </cell>
          <cell r="F1089" t="str">
            <v>All-Ukrainian Network of People Living with HIV/AIDS</v>
          </cell>
        </row>
        <row r="1090">
          <cell r="B1090" t="str">
            <v>UKR-911-G07-T</v>
          </cell>
          <cell r="C1090" t="str">
            <v>Administratively Closed</v>
          </cell>
          <cell r="D1090" t="str">
            <v>Eastern Europe and Central Asia</v>
          </cell>
          <cell r="E1090" t="str">
            <v>UKR</v>
          </cell>
          <cell r="F1090" t="str">
            <v>Foundation for Development of Ukraine</v>
          </cell>
        </row>
        <row r="1091">
          <cell r="B1091" t="str">
            <v>UKR-913-G11-T</v>
          </cell>
          <cell r="C1091" t="str">
            <v>Active</v>
          </cell>
          <cell r="D1091" t="str">
            <v>Eastern Europe and Central Asia</v>
          </cell>
          <cell r="E1091" t="str">
            <v>UKR</v>
          </cell>
          <cell r="F1091" t="str">
            <v>Ukrainian Center for Socially Dangerous Disease Control of the Ministry of Health of Ukraine</v>
          </cell>
        </row>
        <row r="1092">
          <cell r="B1092" t="str">
            <v>UKR-C-AUA</v>
          </cell>
          <cell r="C1092" t="str">
            <v>Active</v>
          </cell>
          <cell r="D1092" t="str">
            <v>Eastern Europe and Central Asia</v>
          </cell>
          <cell r="E1092" t="str">
            <v>UKR</v>
          </cell>
          <cell r="F1092" t="str">
            <v>International HIV/AIDS Alliance, Ukraine</v>
          </cell>
        </row>
        <row r="1093">
          <cell r="B1093" t="str">
            <v>UKR-C-AUN</v>
          </cell>
          <cell r="C1093" t="str">
            <v>Active</v>
          </cell>
          <cell r="D1093" t="str">
            <v>Eastern Europe and Central Asia</v>
          </cell>
          <cell r="E1093" t="str">
            <v>UKR</v>
          </cell>
          <cell r="F1093" t="str">
            <v>All-Ukrainian Network of People Living with HIV/AIDS</v>
          </cell>
        </row>
        <row r="1094">
          <cell r="B1094" t="str">
            <v>UKR-C-UCDC</v>
          </cell>
          <cell r="C1094" t="str">
            <v>Active</v>
          </cell>
          <cell r="D1094" t="str">
            <v>Eastern Europe and Central Asia</v>
          </cell>
          <cell r="E1094" t="str">
            <v>UKR</v>
          </cell>
          <cell r="F1094" t="str">
            <v>Ukrainian Center for Socially Dangerous Disease Control of the Ministry of Health of Ukraine</v>
          </cell>
        </row>
        <row r="1095">
          <cell r="B1095" t="str">
            <v>URY-011-G01-H</v>
          </cell>
          <cell r="C1095" t="str">
            <v>Administratively Closed</v>
          </cell>
          <cell r="D1095" t="str">
            <v>Latin America and Caribbean</v>
          </cell>
          <cell r="E1095" t="str">
            <v>URY</v>
          </cell>
          <cell r="F1095" t="str">
            <v>Agencia Nacional de Investigación e Innovación</v>
          </cell>
        </row>
        <row r="1096">
          <cell r="B1096" t="str">
            <v>URY-011-G02-H</v>
          </cell>
          <cell r="C1096" t="str">
            <v>Financial Closure</v>
          </cell>
          <cell r="D1096" t="str">
            <v>Latin America and Caribbean</v>
          </cell>
          <cell r="E1096" t="str">
            <v>URY</v>
          </cell>
          <cell r="F1096" t="str">
            <v>Ministry of Public Health, Uruguay</v>
          </cell>
        </row>
        <row r="1097">
          <cell r="B1097" t="str">
            <v>UZB-304-G01-H</v>
          </cell>
          <cell r="C1097" t="str">
            <v>Administratively Closed</v>
          </cell>
          <cell r="D1097" t="str">
            <v>Eastern Europe and Central Asia</v>
          </cell>
          <cell r="E1097" t="str">
            <v>UZB</v>
          </cell>
          <cell r="F1097" t="str">
            <v>National AIDS Center, Ministry of Health of Uzbekistan</v>
          </cell>
        </row>
        <row r="1098">
          <cell r="B1098" t="str">
            <v>UZB-311-G06-H</v>
          </cell>
          <cell r="C1098" t="str">
            <v>Administratively Closed</v>
          </cell>
          <cell r="D1098" t="str">
            <v>Eastern Europe and Central Asia</v>
          </cell>
          <cell r="E1098" t="str">
            <v>UZB</v>
          </cell>
          <cell r="F1098" t="str">
            <v>United Nations Development Programme, Uzbekistan</v>
          </cell>
        </row>
        <row r="1099">
          <cell r="B1099" t="str">
            <v>UZB-405-G02-M</v>
          </cell>
          <cell r="C1099" t="str">
            <v>Administratively Closed</v>
          </cell>
          <cell r="D1099" t="str">
            <v>Eastern Europe and Central Asia</v>
          </cell>
          <cell r="E1099" t="str">
            <v>UZB</v>
          </cell>
          <cell r="F1099" t="str">
            <v>Republican Center of State Sanitary Epidemiological Surveillance, Uzbekistan</v>
          </cell>
        </row>
        <row r="1100">
          <cell r="B1100" t="str">
            <v>UZB-405-G03-T</v>
          </cell>
          <cell r="C1100" t="str">
            <v>Administratively Closed</v>
          </cell>
          <cell r="D1100" t="str">
            <v>Eastern Europe and Central Asia</v>
          </cell>
          <cell r="E1100" t="str">
            <v>UZB</v>
          </cell>
          <cell r="F1100" t="str">
            <v>Republican DOTS Center, Uzbekistan</v>
          </cell>
        </row>
        <row r="1101">
          <cell r="B1101" t="str">
            <v>UZB-809-G04-M</v>
          </cell>
          <cell r="C1101" t="str">
            <v>Active</v>
          </cell>
          <cell r="D1101" t="str">
            <v>Eastern Europe and Central Asia</v>
          </cell>
          <cell r="E1101" t="str">
            <v>UZB</v>
          </cell>
          <cell r="F1101" t="str">
            <v>Republican Center of State Sanitary Epidemiological Surveillance, Uzbekistan</v>
          </cell>
        </row>
        <row r="1102">
          <cell r="B1102" t="str">
            <v>UZB-809-G05-T</v>
          </cell>
          <cell r="C1102" t="str">
            <v>Active</v>
          </cell>
          <cell r="D1102" t="str">
            <v>Eastern Europe and Central Asia</v>
          </cell>
          <cell r="E1102" t="str">
            <v>UZB</v>
          </cell>
          <cell r="F1102" t="str">
            <v>Republican DOTS Center, Uzbekistan</v>
          </cell>
        </row>
        <row r="1103">
          <cell r="B1103" t="str">
            <v>UZB-H-UNDP</v>
          </cell>
          <cell r="C1103" t="str">
            <v>Active</v>
          </cell>
          <cell r="D1103" t="str">
            <v>Eastern Europe and Central Asia</v>
          </cell>
          <cell r="E1103" t="str">
            <v>UZB</v>
          </cell>
          <cell r="F1103" t="str">
            <v>United Nations Development Programme, Uzbekistan</v>
          </cell>
        </row>
        <row r="1104">
          <cell r="B1104" t="str">
            <v>VTN-011-G10-S</v>
          </cell>
          <cell r="C1104" t="str">
            <v>Active</v>
          </cell>
          <cell r="D1104" t="str">
            <v>High Impact Asia</v>
          </cell>
          <cell r="E1104" t="str">
            <v>VNM</v>
          </cell>
          <cell r="F1104" t="str">
            <v>Department of Planning and Finance, Ministry of Health of Viet Nam</v>
          </cell>
        </row>
        <row r="1105">
          <cell r="B1105" t="str">
            <v>VTN-102-G01-H-00</v>
          </cell>
          <cell r="C1105" t="str">
            <v>Administratively Closed</v>
          </cell>
          <cell r="D1105" t="str">
            <v>High Impact Asia</v>
          </cell>
          <cell r="E1105" t="str">
            <v>VNM</v>
          </cell>
          <cell r="F1105" t="str">
            <v>Viet Nam Administration of HIV/AIDS Control, Ministry of Health of Viet Nam</v>
          </cell>
        </row>
        <row r="1106">
          <cell r="B1106" t="str">
            <v>VTN-102-G02-T-00</v>
          </cell>
          <cell r="C1106" t="str">
            <v>Administratively Closed</v>
          </cell>
          <cell r="D1106" t="str">
            <v>High Impact Asia</v>
          </cell>
          <cell r="E1106" t="str">
            <v>VNM</v>
          </cell>
          <cell r="F1106" t="str">
            <v>National Lung Hospital, Ministry of Health of Viet Nam</v>
          </cell>
        </row>
        <row r="1107">
          <cell r="B1107" t="str">
            <v>VTN-304-G03-M</v>
          </cell>
          <cell r="C1107" t="str">
            <v>Administratively Closed</v>
          </cell>
          <cell r="D1107" t="str">
            <v>High Impact Asia</v>
          </cell>
          <cell r="E1107" t="str">
            <v>VNM</v>
          </cell>
          <cell r="F1107" t="str">
            <v>National Institute of Malariology, Parasitology and Entomology, Ministry of Health of Viet Nam</v>
          </cell>
        </row>
        <row r="1108">
          <cell r="B1108" t="str">
            <v>VTN-607-G04-H</v>
          </cell>
          <cell r="C1108" t="str">
            <v>Administratively Closed</v>
          </cell>
          <cell r="D1108" t="str">
            <v>High Impact Asia</v>
          </cell>
          <cell r="E1108" t="str">
            <v>VNM</v>
          </cell>
          <cell r="F1108" t="str">
            <v>Viet Nam Administration of HIV/AIDS Control, Ministry of Health of Viet Nam</v>
          </cell>
        </row>
        <row r="1109">
          <cell r="B1109" t="str">
            <v>VTN-607-G05-T</v>
          </cell>
          <cell r="C1109" t="str">
            <v>Financially Closed</v>
          </cell>
          <cell r="D1109" t="str">
            <v>High Impact Asia</v>
          </cell>
          <cell r="E1109" t="str">
            <v>VNM</v>
          </cell>
          <cell r="F1109" t="str">
            <v>National Lung Hospital, Ministry of Health of Viet Nam</v>
          </cell>
        </row>
        <row r="1110">
          <cell r="B1110" t="str">
            <v>VTN-708-G06-M</v>
          </cell>
          <cell r="C1110" t="str">
            <v>Active</v>
          </cell>
          <cell r="D1110" t="str">
            <v>High Impact Asia</v>
          </cell>
          <cell r="E1110" t="str">
            <v>VNM</v>
          </cell>
          <cell r="F1110" t="str">
            <v>National Institute of Malariology, Parasitology and Entomology, Ministry of Health of Viet Nam</v>
          </cell>
        </row>
        <row r="1111">
          <cell r="B1111" t="str">
            <v>VTN-809-G07-H</v>
          </cell>
          <cell r="C1111" t="str">
            <v>Administratively Closed</v>
          </cell>
          <cell r="D1111" t="str">
            <v>High Impact Asia</v>
          </cell>
          <cell r="E1111" t="str">
            <v>VNM</v>
          </cell>
          <cell r="F1111" t="str">
            <v>Viet Nam Administration of HIV/AIDS Control, Ministry of Health of Viet Nam</v>
          </cell>
        </row>
        <row r="1112">
          <cell r="B1112" t="str">
            <v>VTN-910-G08-T</v>
          </cell>
          <cell r="C1112" t="str">
            <v>Active</v>
          </cell>
          <cell r="D1112" t="str">
            <v>High Impact Asia</v>
          </cell>
          <cell r="E1112" t="str">
            <v>VNM</v>
          </cell>
          <cell r="F1112" t="str">
            <v>National Lung Hospital, Ministry of Health of Viet Nam</v>
          </cell>
        </row>
        <row r="1113">
          <cell r="B1113" t="str">
            <v>VTN-H-MOH</v>
          </cell>
          <cell r="C1113" t="str">
            <v>Active</v>
          </cell>
          <cell r="D1113" t="str">
            <v>High Impact Asia</v>
          </cell>
          <cell r="E1113" t="str">
            <v>VNM</v>
          </cell>
          <cell r="F1113" t="str">
            <v>Viet Nam Administration of HIV/AIDS Control, Ministry of Health of Viet Nam</v>
          </cell>
        </row>
        <row r="1114">
          <cell r="B1114" t="str">
            <v>YEM-202-G01-M-00</v>
          </cell>
          <cell r="C1114" t="str">
            <v>Financially Closed</v>
          </cell>
          <cell r="D1114" t="str">
            <v>Middle East and North Africa</v>
          </cell>
          <cell r="E1114" t="str">
            <v>YEM</v>
          </cell>
          <cell r="F1114" t="str">
            <v>Yemen Ministry of Public Health and Population - National Malaria Programme</v>
          </cell>
        </row>
        <row r="1115">
          <cell r="B1115" t="str">
            <v>YEM-305-G02-H</v>
          </cell>
          <cell r="C1115" t="str">
            <v>Financial Closure</v>
          </cell>
          <cell r="D1115" t="str">
            <v>Middle East and North Africa</v>
          </cell>
          <cell r="E1115" t="str">
            <v>YEM</v>
          </cell>
          <cell r="F1115" t="str">
            <v>Yemen Ministry of Public Health and Population - National AIDS Program</v>
          </cell>
        </row>
        <row r="1116">
          <cell r="B1116" t="str">
            <v>YEM-305-G03-H</v>
          </cell>
          <cell r="C1116" t="str">
            <v>Administratively Closed</v>
          </cell>
          <cell r="D1116" t="str">
            <v>Middle East and North Africa</v>
          </cell>
          <cell r="E1116" t="str">
            <v>YEM</v>
          </cell>
          <cell r="F1116" t="str">
            <v>Technical Secretariat of National Population Council</v>
          </cell>
        </row>
        <row r="1117">
          <cell r="B1117" t="str">
            <v>YEM-307-G05-H</v>
          </cell>
          <cell r="C1117" t="str">
            <v>Financial Closure</v>
          </cell>
          <cell r="D1117" t="str">
            <v>Middle East and North Africa</v>
          </cell>
          <cell r="E1117" t="str">
            <v>YEM</v>
          </cell>
          <cell r="F1117" t="str">
            <v>United Nations Development Programme, Yemen</v>
          </cell>
        </row>
        <row r="1118">
          <cell r="B1118" t="str">
            <v>YEM-405-G04-T</v>
          </cell>
          <cell r="C1118" t="str">
            <v>Financial Closure</v>
          </cell>
          <cell r="D1118" t="str">
            <v>Middle East and North Africa</v>
          </cell>
          <cell r="E1118" t="str">
            <v>YEM</v>
          </cell>
          <cell r="F1118" t="str">
            <v>Yemen Ministry of Public Health and Population - National Tuberculosis Program</v>
          </cell>
        </row>
        <row r="1119">
          <cell r="B1119" t="str">
            <v>YEM-708-G06-M</v>
          </cell>
          <cell r="C1119" t="str">
            <v>Active</v>
          </cell>
          <cell r="D1119" t="str">
            <v>Middle East and North Africa</v>
          </cell>
          <cell r="E1119" t="str">
            <v>YEM</v>
          </cell>
          <cell r="F1119" t="str">
            <v>Yemen Ministry of Public Health and Population - National Malaria Programme</v>
          </cell>
        </row>
        <row r="1120">
          <cell r="B1120" t="str">
            <v>YEM-911-G07-T</v>
          </cell>
          <cell r="C1120" t="str">
            <v>Active</v>
          </cell>
          <cell r="D1120" t="str">
            <v>Middle East and North Africa</v>
          </cell>
          <cell r="E1120" t="str">
            <v>YEM</v>
          </cell>
          <cell r="F1120" t="str">
            <v>Yemen Ministry of Public Health and Population - National Tuberculosis Program</v>
          </cell>
        </row>
        <row r="1121">
          <cell r="B1121" t="str">
            <v>YEM-M-NMCP</v>
          </cell>
          <cell r="C1121" t="str">
            <v>N.D.</v>
          </cell>
          <cell r="D1121" t="str">
            <v>Middle East and North Africa</v>
          </cell>
          <cell r="E1121" t="str">
            <v>YEM</v>
          </cell>
          <cell r="F1121" t="str">
            <v>Not Defined</v>
          </cell>
        </row>
        <row r="1122">
          <cell r="B1122" t="str">
            <v>YEM-T12-G08-H</v>
          </cell>
          <cell r="C1122" t="str">
            <v>Active</v>
          </cell>
          <cell r="D1122" t="str">
            <v>Middle East and North Africa</v>
          </cell>
          <cell r="E1122" t="str">
            <v>YEM</v>
          </cell>
          <cell r="F1122" t="str">
            <v>Yemen Ministry of Public Health and Population - National AIDS Program</v>
          </cell>
        </row>
        <row r="1123">
          <cell r="B1123" t="str">
            <v>ZAM-011-G29-H</v>
          </cell>
          <cell r="C1123" t="str">
            <v>Administratively Closed</v>
          </cell>
          <cell r="D1123" t="str">
            <v>High Impact Africa 2</v>
          </cell>
          <cell r="E1123" t="str">
            <v>ZMB</v>
          </cell>
          <cell r="F1123" t="str">
            <v>United Nations Development Programme, Zambia</v>
          </cell>
        </row>
        <row r="1124">
          <cell r="B1124" t="str">
            <v>ZAM-011-G30-H</v>
          </cell>
          <cell r="C1124" t="str">
            <v>Administratively Closed</v>
          </cell>
          <cell r="D1124" t="str">
            <v>High Impact Africa 2</v>
          </cell>
          <cell r="E1124" t="str">
            <v>ZMB</v>
          </cell>
          <cell r="F1124" t="str">
            <v>Churches Health Association of Zambia</v>
          </cell>
        </row>
        <row r="1125">
          <cell r="B1125" t="str">
            <v>ZAM-102-G01-H-00</v>
          </cell>
          <cell r="C1125" t="str">
            <v>Administratively Closed</v>
          </cell>
          <cell r="D1125" t="str">
            <v>High Impact Africa 2</v>
          </cell>
          <cell r="E1125" t="str">
            <v>ZMB</v>
          </cell>
          <cell r="F1125" t="str">
            <v>Ministry of Health of Zambia</v>
          </cell>
        </row>
        <row r="1126">
          <cell r="B1126" t="str">
            <v>ZAM-102-G02-M-00</v>
          </cell>
          <cell r="C1126" t="str">
            <v>Administratively Closed</v>
          </cell>
          <cell r="D1126" t="str">
            <v>High Impact Africa 2</v>
          </cell>
          <cell r="E1126" t="str">
            <v>ZMB</v>
          </cell>
          <cell r="F1126" t="str">
            <v>Ministry of Health of Zambia</v>
          </cell>
        </row>
        <row r="1127">
          <cell r="B1127" t="str">
            <v>ZAM-102-G03-T-00</v>
          </cell>
          <cell r="C1127" t="str">
            <v>Administratively Closed</v>
          </cell>
          <cell r="D1127" t="str">
            <v>High Impact Africa 2</v>
          </cell>
          <cell r="E1127" t="str">
            <v>ZMB</v>
          </cell>
          <cell r="F1127" t="str">
            <v>Ministry of Health of Zambia</v>
          </cell>
        </row>
        <row r="1128">
          <cell r="B1128" t="str">
            <v>ZAM-102-G04-H-00</v>
          </cell>
          <cell r="C1128" t="str">
            <v>Administratively Closed</v>
          </cell>
          <cell r="D1128" t="str">
            <v>High Impact Africa 2</v>
          </cell>
          <cell r="E1128" t="str">
            <v>ZMB</v>
          </cell>
          <cell r="F1128" t="str">
            <v>Churches Health Association of Zambia</v>
          </cell>
        </row>
        <row r="1129">
          <cell r="B1129" t="str">
            <v>ZAM-102-G05-M-00</v>
          </cell>
          <cell r="C1129" t="str">
            <v>Administratively Closed</v>
          </cell>
          <cell r="D1129" t="str">
            <v>High Impact Africa 2</v>
          </cell>
          <cell r="E1129" t="str">
            <v>ZMB</v>
          </cell>
          <cell r="F1129" t="str">
            <v>Churches Health Association of Zambia</v>
          </cell>
        </row>
        <row r="1130">
          <cell r="B1130" t="str">
            <v>ZAM-102-G06-T-00</v>
          </cell>
          <cell r="C1130" t="str">
            <v>Administratively Closed</v>
          </cell>
          <cell r="D1130" t="str">
            <v>High Impact Africa 2</v>
          </cell>
          <cell r="E1130" t="str">
            <v>ZMB</v>
          </cell>
          <cell r="F1130" t="str">
            <v>Churches Health Association of Zambia</v>
          </cell>
        </row>
        <row r="1131">
          <cell r="B1131" t="str">
            <v>ZAM-102-G07-H-00</v>
          </cell>
          <cell r="C1131" t="str">
            <v>Administratively Closed</v>
          </cell>
          <cell r="D1131" t="str">
            <v>High Impact Africa 2</v>
          </cell>
          <cell r="E1131" t="str">
            <v>ZMB</v>
          </cell>
          <cell r="F1131" t="str">
            <v>Ministry of Finance and National Planning of Zambia</v>
          </cell>
        </row>
        <row r="1132">
          <cell r="B1132" t="str">
            <v>ZAM-102-G08-H-00</v>
          </cell>
          <cell r="C1132" t="str">
            <v>Administratively Closed</v>
          </cell>
          <cell r="D1132" t="str">
            <v>High Impact Africa 2</v>
          </cell>
          <cell r="E1132" t="str">
            <v>ZMB</v>
          </cell>
          <cell r="F1132" t="str">
            <v>Zambia National AIDS Network</v>
          </cell>
        </row>
        <row r="1133">
          <cell r="B1133" t="str">
            <v>ZAM-102-G15-T-00</v>
          </cell>
          <cell r="C1133" t="str">
            <v>Administratively Closed</v>
          </cell>
          <cell r="D1133" t="str">
            <v>High Impact Africa 2</v>
          </cell>
          <cell r="E1133" t="str">
            <v>ZMB</v>
          </cell>
          <cell r="F1133" t="str">
            <v>Zambia National AIDS Network</v>
          </cell>
        </row>
        <row r="1134">
          <cell r="B1134" t="str">
            <v>ZAM-405-G09-H</v>
          </cell>
          <cell r="C1134" t="str">
            <v>Administratively Closed</v>
          </cell>
          <cell r="D1134" t="str">
            <v>High Impact Africa 2</v>
          </cell>
          <cell r="E1134" t="str">
            <v>ZMB</v>
          </cell>
          <cell r="F1134" t="str">
            <v>Ministry of Health of Zambia</v>
          </cell>
        </row>
        <row r="1135">
          <cell r="B1135" t="str">
            <v>ZAM-405-G10-H</v>
          </cell>
          <cell r="C1135" t="str">
            <v>Administratively Closed</v>
          </cell>
          <cell r="D1135" t="str">
            <v>High Impact Africa 2</v>
          </cell>
          <cell r="E1135" t="str">
            <v>ZMB</v>
          </cell>
          <cell r="F1135" t="str">
            <v>Churches Health Association of Zambia</v>
          </cell>
        </row>
        <row r="1136">
          <cell r="B1136" t="str">
            <v>ZAM-405-G11-H</v>
          </cell>
          <cell r="C1136" t="str">
            <v>Administratively Closed</v>
          </cell>
          <cell r="D1136" t="str">
            <v>High Impact Africa 2</v>
          </cell>
          <cell r="E1136" t="str">
            <v>ZMB</v>
          </cell>
          <cell r="F1136" t="str">
            <v>Zambia National AIDS Network</v>
          </cell>
        </row>
        <row r="1137">
          <cell r="B1137" t="str">
            <v>ZAM-405-G12-H</v>
          </cell>
          <cell r="C1137" t="str">
            <v>Administratively Closed</v>
          </cell>
          <cell r="D1137" t="str">
            <v>High Impact Africa 2</v>
          </cell>
          <cell r="E1137" t="str">
            <v>ZMB</v>
          </cell>
          <cell r="F1137" t="str">
            <v>Ministry of Finance and National Planning of Zambia</v>
          </cell>
        </row>
        <row r="1138">
          <cell r="B1138" t="str">
            <v>ZAM-405-G13-M</v>
          </cell>
          <cell r="C1138" t="str">
            <v>Administratively Closed</v>
          </cell>
          <cell r="D1138" t="str">
            <v>High Impact Africa 2</v>
          </cell>
          <cell r="E1138" t="str">
            <v>ZMB</v>
          </cell>
          <cell r="F1138" t="str">
            <v>Ministry of Health of Zambia</v>
          </cell>
        </row>
        <row r="1139">
          <cell r="B1139" t="str">
            <v>ZAM-405-G14-M</v>
          </cell>
          <cell r="C1139" t="str">
            <v>Administratively Closed</v>
          </cell>
          <cell r="D1139" t="str">
            <v>High Impact Africa 2</v>
          </cell>
          <cell r="E1139" t="str">
            <v>ZMB</v>
          </cell>
          <cell r="F1139" t="str">
            <v>Churches Health Association of Zambia</v>
          </cell>
        </row>
        <row r="1140">
          <cell r="B1140" t="str">
            <v>ZAM-405-G24-H</v>
          </cell>
          <cell r="C1140" t="str">
            <v>Administratively Closed</v>
          </cell>
          <cell r="D1140" t="str">
            <v>High Impact Africa 2</v>
          </cell>
          <cell r="E1140" t="str">
            <v>ZMB</v>
          </cell>
          <cell r="F1140" t="str">
            <v>United Nations Development Programme, Zambia</v>
          </cell>
        </row>
        <row r="1141">
          <cell r="B1141" t="str">
            <v>ZAM-411-G25-M</v>
          </cell>
          <cell r="C1141" t="str">
            <v>Financially Closed</v>
          </cell>
          <cell r="D1141" t="str">
            <v>High Impact Africa 2</v>
          </cell>
          <cell r="E1141" t="str">
            <v>ZMB</v>
          </cell>
          <cell r="F1141" t="str">
            <v>United Nations Development Programme, Zambia</v>
          </cell>
        </row>
        <row r="1142">
          <cell r="B1142" t="str">
            <v>ZAM-708-G16-T</v>
          </cell>
          <cell r="C1142" t="str">
            <v>Administratively Closed</v>
          </cell>
          <cell r="D1142" t="str">
            <v>High Impact Africa 2</v>
          </cell>
          <cell r="E1142" t="str">
            <v>ZMB</v>
          </cell>
          <cell r="F1142" t="str">
            <v>Ministry of Health of Zambia</v>
          </cell>
        </row>
        <row r="1143">
          <cell r="B1143" t="str">
            <v>ZAM-708-G17-M</v>
          </cell>
          <cell r="C1143" t="str">
            <v>Administratively Closed</v>
          </cell>
          <cell r="D1143" t="str">
            <v>High Impact Africa 2</v>
          </cell>
          <cell r="E1143" t="str">
            <v>ZMB</v>
          </cell>
          <cell r="F1143" t="str">
            <v>Ministry of Health of Zambia</v>
          </cell>
        </row>
        <row r="1144">
          <cell r="B1144" t="str">
            <v>ZAM-708-G18-T</v>
          </cell>
          <cell r="C1144" t="str">
            <v>Financial Closure</v>
          </cell>
          <cell r="D1144" t="str">
            <v>High Impact Africa 2</v>
          </cell>
          <cell r="E1144" t="str">
            <v>ZMB</v>
          </cell>
          <cell r="F1144" t="str">
            <v>Churches Health Association of Zambia</v>
          </cell>
        </row>
        <row r="1145">
          <cell r="B1145" t="str">
            <v>ZAM-708-G19-M</v>
          </cell>
          <cell r="C1145" t="str">
            <v>Active</v>
          </cell>
          <cell r="D1145" t="str">
            <v>High Impact Africa 2</v>
          </cell>
          <cell r="E1145" t="str">
            <v>ZMB</v>
          </cell>
          <cell r="F1145" t="str">
            <v>Churches Health Association of Zambia</v>
          </cell>
        </row>
        <row r="1146">
          <cell r="B1146" t="str">
            <v>ZAM-708-G20-T</v>
          </cell>
          <cell r="C1146" t="str">
            <v>Financial Closure</v>
          </cell>
          <cell r="D1146" t="str">
            <v>High Impact Africa 2</v>
          </cell>
          <cell r="E1146" t="str">
            <v>ZMB</v>
          </cell>
          <cell r="F1146" t="str">
            <v>Zambia National AIDS Network</v>
          </cell>
        </row>
        <row r="1147">
          <cell r="B1147" t="str">
            <v>ZAM-711-G26-T</v>
          </cell>
          <cell r="C1147" t="str">
            <v>Active</v>
          </cell>
          <cell r="D1147" t="str">
            <v>High Impact Africa 2</v>
          </cell>
          <cell r="E1147" t="str">
            <v>ZMB</v>
          </cell>
          <cell r="F1147" t="str">
            <v>United Nations Development Programme, Zambia</v>
          </cell>
        </row>
        <row r="1148">
          <cell r="B1148" t="str">
            <v>ZAM-711-G27-M</v>
          </cell>
          <cell r="C1148" t="str">
            <v>Active</v>
          </cell>
          <cell r="D1148" t="str">
            <v>High Impact Africa 2</v>
          </cell>
          <cell r="E1148" t="str">
            <v>ZMB</v>
          </cell>
          <cell r="F1148" t="str">
            <v>United Nations Development Programme, Zambia</v>
          </cell>
        </row>
        <row r="1149">
          <cell r="B1149" t="str">
            <v>ZAM-809-G21-H</v>
          </cell>
          <cell r="C1149" t="str">
            <v>Administratively Closed</v>
          </cell>
          <cell r="D1149" t="str">
            <v>High Impact Africa 2</v>
          </cell>
          <cell r="E1149" t="str">
            <v>ZMB</v>
          </cell>
          <cell r="F1149" t="str">
            <v>Churches Health Association of Zambia</v>
          </cell>
        </row>
        <row r="1150">
          <cell r="B1150" t="str">
            <v>ZAM-809-G22-H</v>
          </cell>
          <cell r="C1150" t="str">
            <v>Administratively Closed</v>
          </cell>
          <cell r="D1150" t="str">
            <v>High Impact Africa 2</v>
          </cell>
          <cell r="E1150" t="str">
            <v>ZMB</v>
          </cell>
          <cell r="F1150" t="str">
            <v>Zambia National AIDS Network</v>
          </cell>
        </row>
        <row r="1151">
          <cell r="B1151" t="str">
            <v>ZAM-809-G23-H</v>
          </cell>
          <cell r="C1151" t="str">
            <v>Administratively Closed</v>
          </cell>
          <cell r="D1151" t="str">
            <v>High Impact Africa 2</v>
          </cell>
          <cell r="E1151" t="str">
            <v>ZMB</v>
          </cell>
          <cell r="F1151" t="str">
            <v>Ministry of Finance and National Planning of Zambia</v>
          </cell>
        </row>
        <row r="1152">
          <cell r="B1152" t="str">
            <v>ZAM-811-G28-H</v>
          </cell>
          <cell r="C1152" t="str">
            <v>Administratively Closed</v>
          </cell>
          <cell r="D1152" t="str">
            <v>High Impact Africa 2</v>
          </cell>
          <cell r="E1152" t="str">
            <v>ZMB</v>
          </cell>
          <cell r="F1152" t="str">
            <v>United Nations Development Programme, Zambia</v>
          </cell>
        </row>
        <row r="1153">
          <cell r="B1153" t="str">
            <v>ZAM-H-CHAZ</v>
          </cell>
          <cell r="C1153" t="str">
            <v>Active</v>
          </cell>
          <cell r="D1153" t="str">
            <v>High Impact Africa 2</v>
          </cell>
          <cell r="E1153" t="str">
            <v>ZMB</v>
          </cell>
          <cell r="F1153" t="str">
            <v>Churches Health Association of Zambia</v>
          </cell>
        </row>
        <row r="1154">
          <cell r="B1154" t="str">
            <v>ZAM-H-UNDP</v>
          </cell>
          <cell r="C1154" t="str">
            <v>Active</v>
          </cell>
          <cell r="D1154" t="str">
            <v>High Impact Africa 2</v>
          </cell>
          <cell r="E1154" t="str">
            <v>ZMB</v>
          </cell>
          <cell r="F1154" t="str">
            <v>United Nations Development Programme, Zambia</v>
          </cell>
        </row>
        <row r="1155">
          <cell r="B1155" t="str">
            <v>ZMB-C-CHAZ</v>
          </cell>
          <cell r="C1155" t="str">
            <v>Active</v>
          </cell>
          <cell r="D1155" t="str">
            <v>High Impact Africa 2</v>
          </cell>
          <cell r="E1155" t="str">
            <v>ZMB</v>
          </cell>
          <cell r="F1155" t="str">
            <v>Churches Health Association of Zambia</v>
          </cell>
        </row>
        <row r="1156">
          <cell r="B1156" t="str">
            <v>ZMB-C-MOH</v>
          </cell>
          <cell r="C1156" t="str">
            <v>Active</v>
          </cell>
          <cell r="D1156" t="str">
            <v>High Impact Africa 2</v>
          </cell>
          <cell r="E1156" t="str">
            <v>ZMB</v>
          </cell>
          <cell r="F1156" t="str">
            <v>Ministry of Health of Zambia</v>
          </cell>
        </row>
        <row r="1157">
          <cell r="B1157" t="str">
            <v>ZMB-M-CHAZ</v>
          </cell>
          <cell r="C1157" t="str">
            <v>Active</v>
          </cell>
          <cell r="D1157" t="str">
            <v>High Impact Africa 2</v>
          </cell>
          <cell r="E1157" t="str">
            <v>ZMB</v>
          </cell>
          <cell r="F1157" t="str">
            <v>Churches Health Association of Zambia</v>
          </cell>
        </row>
        <row r="1158">
          <cell r="B1158" t="str">
            <v>ZMB-M-MOH</v>
          </cell>
          <cell r="C1158" t="str">
            <v>Active</v>
          </cell>
          <cell r="D1158" t="str">
            <v>High Impact Africa 2</v>
          </cell>
          <cell r="E1158" t="str">
            <v>ZMB</v>
          </cell>
          <cell r="F1158" t="str">
            <v>Ministry of Health of Zambia</v>
          </cell>
        </row>
        <row r="1159">
          <cell r="B1159" t="str">
            <v>ZAN-102-G01-M-00</v>
          </cell>
          <cell r="C1159" t="str">
            <v>Administratively Closed</v>
          </cell>
          <cell r="D1159" t="str">
            <v>High Impact Africa 2</v>
          </cell>
          <cell r="E1159" t="str">
            <v>QNB</v>
          </cell>
          <cell r="F1159" t="str">
            <v>Ministry of Health and Social Welfare of Zanzibar</v>
          </cell>
        </row>
        <row r="1160">
          <cell r="B1160" t="str">
            <v>ZAN-202-G02-H-00</v>
          </cell>
          <cell r="C1160" t="str">
            <v>Financial Closure</v>
          </cell>
          <cell r="D1160" t="str">
            <v>High Impact Africa 2</v>
          </cell>
          <cell r="E1160" t="str">
            <v>QNB</v>
          </cell>
          <cell r="F1160" t="str">
            <v>Zanzibar AIDS Commission</v>
          </cell>
        </row>
        <row r="1161">
          <cell r="B1161" t="str">
            <v>ZAN-304-G03-T</v>
          </cell>
          <cell r="C1161" t="str">
            <v>Financial Closure</v>
          </cell>
          <cell r="D1161" t="str">
            <v>High Impact Africa 2</v>
          </cell>
          <cell r="E1161" t="str">
            <v>QNB</v>
          </cell>
          <cell r="F1161" t="str">
            <v>Ministry of Health and Social Welfare of Zanzibar</v>
          </cell>
        </row>
        <row r="1162">
          <cell r="B1162" t="str">
            <v>ZAN-404-G04-M</v>
          </cell>
          <cell r="C1162" t="str">
            <v>Financial Closure</v>
          </cell>
          <cell r="D1162" t="str">
            <v>High Impact Africa 2</v>
          </cell>
          <cell r="E1162" t="str">
            <v>QNB</v>
          </cell>
          <cell r="F1162" t="str">
            <v>Ministry of Health and Social Welfare of Zanzibar</v>
          </cell>
        </row>
        <row r="1163">
          <cell r="B1163" t="str">
            <v>ZAN-607-G05-H</v>
          </cell>
          <cell r="C1163" t="str">
            <v>Financial Closure</v>
          </cell>
          <cell r="D1163" t="str">
            <v>High Impact Africa 2</v>
          </cell>
          <cell r="E1163" t="str">
            <v>QNB</v>
          </cell>
          <cell r="F1163" t="str">
            <v>Ministry of Health and Social Welfare of Zanzibar</v>
          </cell>
        </row>
        <row r="1164">
          <cell r="B1164" t="str">
            <v>ZAN-607-G06-H</v>
          </cell>
          <cell r="C1164" t="str">
            <v>Financial Closure</v>
          </cell>
          <cell r="D1164" t="str">
            <v>High Impact Africa 2</v>
          </cell>
          <cell r="E1164" t="str">
            <v>QNB</v>
          </cell>
          <cell r="F1164" t="str">
            <v>Zanzibar AIDS Commission</v>
          </cell>
        </row>
        <row r="1165">
          <cell r="B1165" t="str">
            <v>ZAN-809-G07-M</v>
          </cell>
          <cell r="C1165" t="str">
            <v>Active</v>
          </cell>
          <cell r="D1165" t="str">
            <v>High Impact Africa 2</v>
          </cell>
          <cell r="E1165" t="str">
            <v>QNB</v>
          </cell>
          <cell r="F1165" t="str">
            <v>Ministry of Health and Social Welfare of Zanzibar</v>
          </cell>
        </row>
        <row r="1166">
          <cell r="B1166" t="str">
            <v>ZAN-T-MOHSW</v>
          </cell>
          <cell r="C1166" t="str">
            <v>Active</v>
          </cell>
          <cell r="D1166" t="str">
            <v>High Impact Africa 2</v>
          </cell>
          <cell r="E1166" t="str">
            <v>QNB</v>
          </cell>
          <cell r="F1166" t="str">
            <v>Ministry of Health and Social Welfare of Zanzibar</v>
          </cell>
        </row>
        <row r="1167">
          <cell r="B1167" t="str">
            <v>ZIM-011-G15-M</v>
          </cell>
          <cell r="C1167" t="str">
            <v>Administratively Closed</v>
          </cell>
          <cell r="D1167" t="str">
            <v>High Impact Africa 2</v>
          </cell>
          <cell r="E1167" t="str">
            <v>ZWE</v>
          </cell>
          <cell r="F1167" t="str">
            <v>United Nations Development Programme, Zimbabwe</v>
          </cell>
        </row>
        <row r="1168">
          <cell r="B1168" t="str">
            <v>ZIM-102-G01-H-00</v>
          </cell>
          <cell r="C1168" t="str">
            <v>Administratively Closed</v>
          </cell>
          <cell r="D1168" t="str">
            <v>High Impact Africa 2</v>
          </cell>
          <cell r="E1168" t="str">
            <v>ZWE</v>
          </cell>
          <cell r="F1168" t="str">
            <v>United Nations Development Programme, Zimbabwe</v>
          </cell>
        </row>
        <row r="1169">
          <cell r="B1169" t="str">
            <v>ZIM-102-G02-M-00</v>
          </cell>
          <cell r="C1169" t="str">
            <v>Administratively Closed</v>
          </cell>
          <cell r="D1169" t="str">
            <v>High Impact Africa 2</v>
          </cell>
          <cell r="E1169" t="str">
            <v>ZWE</v>
          </cell>
          <cell r="F1169" t="str">
            <v>Ministry of Health and Child Care of Zimbabwe</v>
          </cell>
        </row>
        <row r="1170">
          <cell r="B1170" t="str">
            <v>ZIM-102-G07-H</v>
          </cell>
          <cell r="C1170" t="str">
            <v>Administratively Closed</v>
          </cell>
          <cell r="D1170" t="str">
            <v>High Impact Africa 2</v>
          </cell>
          <cell r="E1170" t="str">
            <v>ZWE</v>
          </cell>
          <cell r="F1170" t="str">
            <v>National AIDS Council of Zimbabwe</v>
          </cell>
        </row>
        <row r="1171">
          <cell r="B1171" t="str">
            <v>ZIM-506-G03-H</v>
          </cell>
          <cell r="C1171" t="str">
            <v>Administratively Closed</v>
          </cell>
          <cell r="D1171" t="str">
            <v>High Impact Africa 2</v>
          </cell>
          <cell r="E1171" t="str">
            <v>ZWE</v>
          </cell>
          <cell r="F1171" t="str">
            <v>National AIDS Council of Zimbabwe</v>
          </cell>
        </row>
        <row r="1172">
          <cell r="B1172" t="str">
            <v>ZIM-506-G04-H</v>
          </cell>
          <cell r="C1172" t="str">
            <v>Administratively Closed</v>
          </cell>
          <cell r="D1172" t="str">
            <v>High Impact Africa 2</v>
          </cell>
          <cell r="E1172" t="str">
            <v>ZWE</v>
          </cell>
          <cell r="F1172" t="str">
            <v>Zimbabwe Association of Church Related Hospitals</v>
          </cell>
        </row>
        <row r="1173">
          <cell r="B1173" t="str">
            <v>ZIM-506-G05-T</v>
          </cell>
          <cell r="C1173" t="str">
            <v>Administratively Closed</v>
          </cell>
          <cell r="D1173" t="str">
            <v>High Impact Africa 2</v>
          </cell>
          <cell r="E1173" t="str">
            <v>ZWE</v>
          </cell>
          <cell r="F1173" t="str">
            <v>Zimbabwe Association of Church Related Hospitals</v>
          </cell>
        </row>
        <row r="1174">
          <cell r="B1174" t="str">
            <v>ZIM-506-G06-M</v>
          </cell>
          <cell r="C1174" t="str">
            <v>Financial Closure</v>
          </cell>
          <cell r="D1174" t="str">
            <v>High Impact Africa 2</v>
          </cell>
          <cell r="E1174" t="str">
            <v>ZWE</v>
          </cell>
          <cell r="F1174" t="str">
            <v>Ministry of Health and Child Care of Zimbabwe</v>
          </cell>
        </row>
        <row r="1175">
          <cell r="B1175" t="str">
            <v>ZIM-509-G08-T</v>
          </cell>
          <cell r="C1175" t="str">
            <v>Administratively Closed</v>
          </cell>
          <cell r="D1175" t="str">
            <v>High Impact Africa 2</v>
          </cell>
          <cell r="E1175" t="str">
            <v>ZWE</v>
          </cell>
          <cell r="F1175" t="str">
            <v>United Nations Development Programme, Zimbabwe</v>
          </cell>
        </row>
        <row r="1176">
          <cell r="B1176" t="str">
            <v>ZIM-509-G09-M</v>
          </cell>
          <cell r="C1176" t="str">
            <v>Administratively Closed</v>
          </cell>
          <cell r="D1176" t="str">
            <v>High Impact Africa 2</v>
          </cell>
          <cell r="E1176" t="str">
            <v>ZWE</v>
          </cell>
          <cell r="F1176" t="str">
            <v>United Nations Development Programme, Zimbabwe</v>
          </cell>
        </row>
        <row r="1177">
          <cell r="B1177" t="str">
            <v>ZIM-509-G10-H</v>
          </cell>
          <cell r="C1177" t="str">
            <v>Administratively Closed</v>
          </cell>
          <cell r="D1177" t="str">
            <v>High Impact Africa 2</v>
          </cell>
          <cell r="E1177" t="str">
            <v>ZWE</v>
          </cell>
          <cell r="F1177" t="str">
            <v>United Nations Development Programme, Zimbabwe</v>
          </cell>
        </row>
        <row r="1178">
          <cell r="B1178" t="str">
            <v>ZIM-809-G11-H</v>
          </cell>
          <cell r="C1178" t="str">
            <v>Administratively Closed</v>
          </cell>
          <cell r="D1178" t="str">
            <v>High Impact Africa 2</v>
          </cell>
          <cell r="E1178" t="str">
            <v>ZWE</v>
          </cell>
          <cell r="F1178" t="str">
            <v>United Nations Development Programme, Zimbabwe</v>
          </cell>
        </row>
        <row r="1179">
          <cell r="B1179" t="str">
            <v>ZIM-809-G12-T</v>
          </cell>
          <cell r="C1179" t="str">
            <v>Active</v>
          </cell>
          <cell r="D1179" t="str">
            <v>High Impact Africa 2</v>
          </cell>
          <cell r="E1179" t="str">
            <v>ZWE</v>
          </cell>
          <cell r="F1179" t="str">
            <v>United Nations Development Programme, Zimbabwe</v>
          </cell>
        </row>
        <row r="1180">
          <cell r="B1180" t="str">
            <v>ZIM-809-G13-M</v>
          </cell>
          <cell r="C1180" t="str">
            <v>Administratively Closed</v>
          </cell>
          <cell r="D1180" t="str">
            <v>High Impact Africa 2</v>
          </cell>
          <cell r="E1180" t="str">
            <v>ZWE</v>
          </cell>
          <cell r="F1180" t="str">
            <v>United Nations Development Programme, Zimbabwe</v>
          </cell>
        </row>
        <row r="1181">
          <cell r="B1181" t="str">
            <v>ZIM-809-G14-S</v>
          </cell>
          <cell r="C1181" t="str">
            <v>Active</v>
          </cell>
          <cell r="D1181" t="str">
            <v>High Impact Africa 2</v>
          </cell>
          <cell r="E1181" t="str">
            <v>ZWE</v>
          </cell>
          <cell r="F1181" t="str">
            <v>United Nations Development Programme, Zimbabwe</v>
          </cell>
        </row>
        <row r="1182">
          <cell r="B1182" t="str">
            <v>ZIM-H-UNDP</v>
          </cell>
          <cell r="C1182" t="str">
            <v>Active</v>
          </cell>
          <cell r="D1182" t="str">
            <v>High Impact Africa 2</v>
          </cell>
          <cell r="E1182" t="str">
            <v>ZWE</v>
          </cell>
          <cell r="F1182" t="str">
            <v>United Nations Development Programme, Zimbabwe</v>
          </cell>
        </row>
        <row r="1183">
          <cell r="B1183" t="str">
            <v>ZIM-M-UNDP</v>
          </cell>
          <cell r="C1183" t="str">
            <v>Active</v>
          </cell>
          <cell r="D1183" t="str">
            <v>High Impact Africa 2</v>
          </cell>
          <cell r="E1183" t="str">
            <v>ZWE</v>
          </cell>
          <cell r="F1183" t="str">
            <v>United Nations Development Programme, Zimbabwe</v>
          </cell>
        </row>
        <row r="1184">
          <cell r="B1184" t="str">
            <v>ZWE-M-MOHCC</v>
          </cell>
          <cell r="C1184" t="str">
            <v>Active</v>
          </cell>
          <cell r="D1184" t="str">
            <v>High Impact Africa 2</v>
          </cell>
          <cell r="E1184" t="str">
            <v>ZWE</v>
          </cell>
          <cell r="F1184" t="str">
            <v>Ministry of Health and Child Care of Zimbabwe</v>
          </cell>
        </row>
        <row r="1185">
          <cell r="B1185" t="str">
            <v>ZWE-T-MOHCC</v>
          </cell>
          <cell r="C1185" t="str">
            <v>Active</v>
          </cell>
          <cell r="D1185" t="str">
            <v>High Impact Africa 2</v>
          </cell>
          <cell r="E1185" t="str">
            <v>ZWE</v>
          </cell>
          <cell r="F1185" t="str">
            <v>Ministry of Health and Child Care of Zimbabwe</v>
          </cell>
        </row>
      </sheetData>
      <sheetData sheetId="1">
        <row r="16">
          <cell r="C16">
            <v>232</v>
          </cell>
          <cell r="D16">
            <v>100000</v>
          </cell>
          <cell r="E16">
            <v>100232</v>
          </cell>
          <cell r="F16">
            <v>44787</v>
          </cell>
        </row>
        <row r="17">
          <cell r="F17">
            <v>501</v>
          </cell>
        </row>
        <row r="18">
          <cell r="F18">
            <v>44286</v>
          </cell>
        </row>
        <row r="19">
          <cell r="F19">
            <v>300000</v>
          </cell>
        </row>
      </sheetData>
      <sheetData sheetId="2"/>
      <sheetData sheetId="3"/>
      <sheetData sheetId="4"/>
      <sheetData sheetId="5" refreshError="1"/>
      <sheetData sheetId="6"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Sheet"/>
      <sheetName val="Impact Outcome Indicators_1A"/>
      <sheetName val="Data"/>
      <sheetName val="ImpactOutcomeDisaggData"/>
      <sheetName val="Disaggregation_1A"/>
      <sheetName val="Impactoutcome"/>
      <sheetName val="Coverage Indicators_1B"/>
      <sheetName val="Coverage Indicators"/>
      <sheetName val="Disaggregation_1B"/>
      <sheetName val="CoverageDisaggregationData"/>
      <sheetName val="WPTM_1C"/>
      <sheetName val="Intervention By Modules old"/>
      <sheetName val="Intervention By Modules"/>
      <sheetName val="Financial Reports"/>
      <sheetName val="Data load in GOS"/>
      <sheetName val="PR Cash Reconciliation"/>
      <sheetName val="PR Cash Information"/>
      <sheetName val="SR_Cash Reconciliation"/>
      <sheetName val="Budget Variance"/>
      <sheetName val="Procurement_3"/>
      <sheetName val="Grant Management_4"/>
      <sheetName val="PR-LFA Evaluation_5"/>
      <sheetName val="LFA_Findings&amp;Recommendations_6"/>
      <sheetName val="Annual Cash Forecast"/>
      <sheetName val="Ad Hoc Cash Forecast"/>
      <sheetName val=" Request and Recommendation_8B"/>
      <sheetName val="Tax Reporting"/>
      <sheetName val="PR Authorization_9A"/>
      <sheetName val="LFA Authorization_9B"/>
      <sheetName val="PR_Disbursement Request_7"/>
      <sheetName val="Modules"/>
      <sheetName val="Sheet3"/>
      <sheetName val="Sheet1"/>
      <sheetName val="Checklist"/>
      <sheetName val="Memo HIV"/>
      <sheetName val="Memo TB"/>
      <sheetName val="Memo Malaria"/>
    </sheetNames>
    <sheetDataSet>
      <sheetData sheetId="0"/>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ow r="12">
          <cell r="C12" t="str">
            <v>Civil Society - Community Based Organization</v>
          </cell>
        </row>
        <row r="13">
          <cell r="C13" t="str">
            <v>Civil Society - International Faith Based Organization</v>
          </cell>
        </row>
        <row r="14">
          <cell r="C14" t="str">
            <v>Civil Society - International Non-Governmental Organization</v>
          </cell>
        </row>
        <row r="15">
          <cell r="C15" t="str">
            <v>Civil Society - Local Faith Based Organization</v>
          </cell>
        </row>
        <row r="16">
          <cell r="C16" t="str">
            <v>Civil Society - Local Non-Governmental Organization</v>
          </cell>
        </row>
        <row r="17">
          <cell r="C17" t="str">
            <v>Civil Society - Other</v>
          </cell>
        </row>
        <row r="18">
          <cell r="C18" t="str">
            <v>Government - Ministry of Health</v>
          </cell>
        </row>
        <row r="19">
          <cell r="C19" t="str">
            <v>Government - Ministry of Finance</v>
          </cell>
        </row>
        <row r="20">
          <cell r="C20" t="str">
            <v>Government - Other</v>
          </cell>
        </row>
        <row r="21">
          <cell r="C21" t="str">
            <v>Multilateral - UNDP</v>
          </cell>
        </row>
        <row r="22">
          <cell r="C22" t="str">
            <v>Multilateral - Other UN agency</v>
          </cell>
        </row>
        <row r="23">
          <cell r="C23" t="str">
            <v>Multilateral - Other</v>
          </cell>
        </row>
        <row r="24">
          <cell r="C24" t="str">
            <v>Private Sector</v>
          </cell>
        </row>
        <row r="25">
          <cell r="C25" t="str">
            <v>Other</v>
          </cell>
        </row>
      </sheetData>
      <sheetData sheetId="33" refreshError="1"/>
      <sheetData sheetId="34" refreshError="1"/>
      <sheetData sheetId="35" refreshError="1"/>
      <sheetData sheetId="36"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udget summary GF"/>
      <sheetName val="Definitions"/>
      <sheetName val="CoverageDisaggregationData"/>
      <sheetName val="Data"/>
      <sheetName val="Indicateurs Couverture_1B"/>
      <sheetName val="EFR Data"/>
      <sheetName val="Indicateurs Impact Effet_1A"/>
      <sheetName val="ImpactOutcomeDisaggData"/>
      <sheetName val="Intervention By Modules"/>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g log"/>
      <sheetName val="CatFiscalCycle"/>
      <sheetName val="CatTerritory"/>
      <sheetName val="CatRecipient"/>
      <sheetName val="IndDisaggrGrpInImpact"/>
      <sheetName val="IndDisaggrGrpInOutcome"/>
      <sheetName val="IndDisaggrGrpInCov"/>
      <sheetName val="CovAggrDataTypeInCov"/>
      <sheetName val="ModInCmp"/>
      <sheetName val="ImpactInCmp"/>
      <sheetName val="OutcomeInCmp"/>
      <sheetName val="DataSrcInCmp"/>
      <sheetName val="CatCmp"/>
      <sheetName val="CatModules"/>
      <sheetName val="CatInt"/>
      <sheetName val="CatImpact"/>
      <sheetName val="CatOutcome"/>
      <sheetName val="CatCoverage"/>
      <sheetName val="CatDataSrc"/>
      <sheetName val="CatIndDisaggrGrp"/>
      <sheetName val="CatIndDisaggrGrpValues"/>
      <sheetName val="CatCovAggrDataType"/>
      <sheetName val="CatCovGeoArea"/>
      <sheetName val="CatWPTM-Score"/>
      <sheetName val="CoverageDisaggregationData"/>
      <sheetName val="Data"/>
      <sheetName val="Indicateurs Couverture_1B"/>
      <sheetName val="Intervention By Modules"/>
      <sheetName val="EFR Data"/>
      <sheetName val="Indicateurs Impact Effet_1A"/>
      <sheetName val="ImpactOutcomeDisaggData"/>
      <sheetName val="Coverage Indicators"/>
      <sheetName val="LFA_ImpactOutcome Indicators_1A"/>
      <sheetName val="Definitions-lists-EFR"/>
      <sheetName val="Memo Malaria"/>
      <sheetName val="PR_Programmatic Progress_1A"/>
      <sheetName val="PR_Total PR Cash Outflow_3A"/>
    </sheetNames>
    <sheetDataSet>
      <sheetData sheetId="0" refreshError="1">
        <row r="1">
          <cell r="D1">
            <v>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tables/table1.xml><?xml version="1.0" encoding="utf-8"?>
<table xmlns="http://schemas.openxmlformats.org/spreadsheetml/2006/main" id="1" name="Module" displayName="Module" ref="B11:K24" totalsRowShown="0" headerRowDxfId="76" tableBorderDxfId="75">
  <autoFilter ref="B11:K24"/>
  <tableColumns count="10">
    <tableColumn id="1" name="Module Name" dataDxfId="74"/>
    <tableColumn id="2" name="Column1"/>
    <tableColumn id="3" name="Module-Coverage-Intervention Reference (Name)"/>
    <tableColumn id="4" name="Column2"/>
    <tableColumn id="5" name="Column3"/>
    <tableColumn id="6" name="Column4"/>
    <tableColumn id="7" name="Column5"/>
    <tableColumn id="8" name="unique id">
      <calculatedColumnFormula array="1">IFERROR(INDEX($D$12:$D$25, MATCH(0, COUNTIF($I$11:I11, $D$12:$D$25&amp;"") + IF($D$12:$D$25="",1,0), 0)), "")</calculatedColumnFormula>
    </tableColumn>
    <tableColumn id="9" name="unique name list">
      <calculatedColumnFormula array="1">IFERROR(IF(INDEX($B$12:$B$25,MATCH(LEFT(I12,255),LEFT($D$12:$D$25,255),0))=0,"",INDEX($B$12:$B$25,MATCH(LEFT(I12,255),LEFT($D$12:$D$25,255),0))),"")</calculatedColumnFormula>
    </tableColumn>
    <tableColumn id="10" name="Record ID"/>
  </tableColumns>
  <tableStyleInfo name="TableStyleMedium9" showFirstColumn="0" showLastColumn="0" showRowStripes="1" showColumnStripes="0"/>
</table>
</file>

<file path=xl/tables/table2.xml><?xml version="1.0" encoding="utf-8"?>
<table xmlns="http://schemas.openxmlformats.org/spreadsheetml/2006/main" id="2" name="InterventionList" displayName="InterventionList" ref="B29:L93" totalsRowShown="0">
  <autoFilter ref="B29:L93"/>
  <tableColumns count="11">
    <tableColumn id="1" name="Module" dataDxfId="73"/>
    <tableColumn id="2" name="Column1" dataDxfId="72"/>
    <tableColumn id="3" name="Name ID" dataDxfId="71"/>
    <tableColumn id="4" name="Name" dataDxfId="70"/>
    <tableColumn id="5" name="Column2" dataDxfId="69"/>
    <tableColumn id="6" name="Column5" dataDxfId="68"/>
    <tableColumn id="7" name="Column6" dataDxfId="67"/>
    <tableColumn id="8" name="Column4" dataDxfId="66"/>
    <tableColumn id="9" name="Column3" dataDxfId="65"/>
    <tableColumn id="10" name="Record ID" dataDxfId="64"/>
    <tableColumn id="11" name="Column8" dataDxfId="63"/>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6.xml.rels><?xml version="1.0" encoding="UTF-8" standalone="yes"?>
<Relationships xmlns="http://schemas.openxmlformats.org/package/2006/relationships"><Relationship Id="rId8" Type="http://schemas.openxmlformats.org/officeDocument/2006/relationships/oleObject" Target="../embeddings/oleObject3.bin"/><Relationship Id="rId3" Type="http://schemas.openxmlformats.org/officeDocument/2006/relationships/vmlDrawing" Target="../drawings/vmlDrawing2.vml"/><Relationship Id="rId7" Type="http://schemas.openxmlformats.org/officeDocument/2006/relationships/image" Target="../media/image3.emf"/><Relationship Id="rId2" Type="http://schemas.openxmlformats.org/officeDocument/2006/relationships/drawing" Target="../drawings/drawing2.xml"/><Relationship Id="rId1" Type="http://schemas.openxmlformats.org/officeDocument/2006/relationships/printerSettings" Target="../printerSettings/printerSettings24.bin"/><Relationship Id="rId6" Type="http://schemas.openxmlformats.org/officeDocument/2006/relationships/oleObject" Target="../embeddings/oleObject2.bin"/><Relationship Id="rId11" Type="http://schemas.openxmlformats.org/officeDocument/2006/relationships/image" Target="../media/image5.emf"/><Relationship Id="rId5" Type="http://schemas.openxmlformats.org/officeDocument/2006/relationships/image" Target="../media/image2.emf"/><Relationship Id="rId10" Type="http://schemas.openxmlformats.org/officeDocument/2006/relationships/oleObject" Target="../embeddings/oleObject4.bin"/><Relationship Id="rId4" Type="http://schemas.openxmlformats.org/officeDocument/2006/relationships/oleObject" Target="../embeddings/oleObject1.bin"/><Relationship Id="rId9" Type="http://schemas.openxmlformats.org/officeDocument/2006/relationships/image" Target="../media/image4.emf"/></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theme="9" tint="0.79998168889431442"/>
  </sheetPr>
  <dimension ref="A1:O49"/>
  <sheetViews>
    <sheetView view="pageBreakPreview" topLeftCell="A7" zoomScale="70" zoomScaleNormal="75" zoomScaleSheetLayoutView="70" workbookViewId="0">
      <selection activeCell="A2" sqref="A2:O3"/>
    </sheetView>
  </sheetViews>
  <sheetFormatPr defaultColWidth="9.140625" defaultRowHeight="12.75" x14ac:dyDescent="0.2"/>
  <cols>
    <col min="1" max="1" width="6.140625" style="101" customWidth="1"/>
    <col min="2" max="2" width="1.140625" style="101" customWidth="1"/>
    <col min="3" max="3" width="49.85546875" style="101" customWidth="1"/>
    <col min="4" max="4" width="70.5703125" style="101" customWidth="1"/>
    <col min="5" max="7" width="9.140625" style="101"/>
    <col min="8" max="8" width="42.140625" style="101" customWidth="1"/>
    <col min="9" max="9" width="23.85546875" style="101" customWidth="1"/>
    <col min="10" max="10" width="20.85546875" style="101" customWidth="1"/>
    <col min="11" max="11" width="12.140625" style="101" bestFit="1" customWidth="1"/>
    <col min="12" max="12" width="21.85546875" style="101" customWidth="1"/>
    <col min="13" max="16384" width="9.140625" style="101"/>
  </cols>
  <sheetData>
    <row r="1" spans="1:15" ht="48" customHeight="1" x14ac:dyDescent="0.2">
      <c r="A1" s="1378" t="str">
        <f>IF(CoverSheet!J12="N/A","Progress Report","Progress Report with Disbursement Request")</f>
        <v>Progress Report with Disbursement Request</v>
      </c>
      <c r="B1" s="1378"/>
      <c r="C1" s="1378"/>
      <c r="D1" s="1378"/>
      <c r="E1" s="1378"/>
      <c r="F1" s="1378"/>
      <c r="G1" s="1378"/>
      <c r="H1" s="1378"/>
      <c r="I1" s="1378"/>
      <c r="J1" s="1378"/>
      <c r="K1" s="1378"/>
      <c r="L1" s="1378"/>
      <c r="M1" s="1379"/>
      <c r="N1" s="1379"/>
      <c r="O1" s="1379"/>
    </row>
    <row r="2" spans="1:15" ht="135" customHeight="1" x14ac:dyDescent="0.2">
      <c r="A2" s="1380" t="s">
        <v>546</v>
      </c>
      <c r="B2" s="1381"/>
      <c r="C2" s="1381"/>
      <c r="D2" s="1381"/>
      <c r="E2" s="1381"/>
      <c r="F2" s="1381"/>
      <c r="G2" s="1381"/>
      <c r="H2" s="1381"/>
      <c r="I2" s="1381"/>
      <c r="J2" s="1381"/>
      <c r="K2" s="1381"/>
      <c r="L2" s="1381"/>
      <c r="M2" s="1381"/>
      <c r="N2" s="1381"/>
      <c r="O2" s="1382"/>
    </row>
    <row r="3" spans="1:15" ht="96.75" customHeight="1" x14ac:dyDescent="0.2">
      <c r="A3" s="1383"/>
      <c r="B3" s="1384"/>
      <c r="C3" s="1384"/>
      <c r="D3" s="1384"/>
      <c r="E3" s="1384"/>
      <c r="F3" s="1384"/>
      <c r="G3" s="1384"/>
      <c r="H3" s="1384"/>
      <c r="I3" s="1384"/>
      <c r="J3" s="1384"/>
      <c r="K3" s="1384"/>
      <c r="L3" s="1384"/>
      <c r="M3" s="1384"/>
      <c r="N3" s="1384"/>
      <c r="O3" s="1385"/>
    </row>
    <row r="4" spans="1:15" ht="32.25" customHeight="1" x14ac:dyDescent="0.2">
      <c r="A4" s="106" t="s">
        <v>25</v>
      </c>
      <c r="B4" s="372"/>
      <c r="C4" s="7"/>
      <c r="D4" s="373"/>
      <c r="E4" s="122"/>
      <c r="F4" s="122"/>
      <c r="G4" s="122"/>
      <c r="H4" s="122"/>
      <c r="I4" s="122"/>
      <c r="J4" s="122"/>
      <c r="K4" s="122"/>
      <c r="L4" s="122"/>
    </row>
    <row r="5" spans="1:15" ht="15" x14ac:dyDescent="0.2">
      <c r="A5" s="1375" t="s">
        <v>18</v>
      </c>
      <c r="B5" s="1376"/>
      <c r="C5" s="1377"/>
      <c r="D5" s="1176" t="s">
        <v>963</v>
      </c>
      <c r="E5" s="374"/>
      <c r="F5" s="375" t="s">
        <v>251</v>
      </c>
      <c r="G5" s="376"/>
      <c r="H5" s="377"/>
      <c r="I5" s="377"/>
      <c r="J5" s="377"/>
      <c r="K5" s="377"/>
      <c r="L5" s="378"/>
    </row>
    <row r="6" spans="1:15" ht="14.25" x14ac:dyDescent="0.2">
      <c r="A6" s="1375" t="s">
        <v>148</v>
      </c>
      <c r="B6" s="1376"/>
      <c r="C6" s="1377"/>
      <c r="D6" s="1176" t="s">
        <v>965</v>
      </c>
      <c r="E6" s="374"/>
      <c r="F6" s="344" t="s">
        <v>528</v>
      </c>
      <c r="G6" s="344"/>
      <c r="H6" s="344"/>
      <c r="I6" s="344" t="s">
        <v>39</v>
      </c>
      <c r="J6" s="437">
        <v>42736</v>
      </c>
      <c r="K6" s="343" t="s">
        <v>47</v>
      </c>
      <c r="L6" s="437">
        <v>43100</v>
      </c>
    </row>
    <row r="7" spans="1:15" ht="14.25" x14ac:dyDescent="0.2">
      <c r="A7" s="1375" t="s">
        <v>195</v>
      </c>
      <c r="B7" s="1376"/>
      <c r="C7" s="1377"/>
      <c r="D7" s="1179" t="s">
        <v>958</v>
      </c>
      <c r="E7" s="374"/>
      <c r="F7" s="332"/>
      <c r="G7" s="332"/>
      <c r="H7" s="332"/>
      <c r="I7" s="332"/>
      <c r="J7" s="379"/>
      <c r="K7" s="121"/>
      <c r="L7" s="379"/>
    </row>
    <row r="8" spans="1:15" ht="15" x14ac:dyDescent="0.2">
      <c r="A8" s="1375" t="s">
        <v>37</v>
      </c>
      <c r="B8" s="1376"/>
      <c r="C8" s="1377"/>
      <c r="D8" s="1177" t="s">
        <v>964</v>
      </c>
      <c r="E8" s="374"/>
      <c r="F8" s="1386" t="s">
        <v>252</v>
      </c>
      <c r="G8" s="1387"/>
      <c r="H8" s="1387"/>
      <c r="I8" s="1387"/>
      <c r="J8" s="1387"/>
      <c r="K8" s="1387"/>
      <c r="L8" s="1388"/>
    </row>
    <row r="9" spans="1:15" ht="14.25" x14ac:dyDescent="0.2">
      <c r="A9" s="1375" t="s">
        <v>231</v>
      </c>
      <c r="B9" s="1376"/>
      <c r="C9" s="1377"/>
      <c r="D9" s="1178"/>
      <c r="E9" s="374"/>
      <c r="F9" s="344" t="s">
        <v>529</v>
      </c>
      <c r="G9" s="344"/>
      <c r="H9" s="344"/>
      <c r="I9" s="344" t="s">
        <v>39</v>
      </c>
      <c r="J9" s="437">
        <f>IF(I23="","N/A", I23)</f>
        <v>42736</v>
      </c>
      <c r="K9" s="343" t="s">
        <v>47</v>
      </c>
      <c r="L9" s="437">
        <f>IF(I23="","N/A",L6)</f>
        <v>43100</v>
      </c>
    </row>
    <row r="10" spans="1:15" ht="14.25" x14ac:dyDescent="0.2">
      <c r="A10" s="1375" t="s">
        <v>51</v>
      </c>
      <c r="B10" s="1376"/>
      <c r="C10" s="1377"/>
      <c r="D10" s="437">
        <v>42095</v>
      </c>
      <c r="E10" s="374"/>
      <c r="F10" s="122"/>
      <c r="G10" s="122"/>
      <c r="H10" s="122"/>
      <c r="I10" s="122"/>
      <c r="J10" s="122"/>
      <c r="K10" s="122"/>
      <c r="L10" s="122"/>
    </row>
    <row r="11" spans="1:15" ht="15" x14ac:dyDescent="0.2">
      <c r="A11" s="1375" t="s">
        <v>250</v>
      </c>
      <c r="B11" s="1376"/>
      <c r="C11" s="1377"/>
      <c r="D11" s="1177" t="s">
        <v>621</v>
      </c>
      <c r="E11" s="374"/>
      <c r="F11" s="375" t="s">
        <v>36</v>
      </c>
      <c r="G11" s="376"/>
      <c r="H11" s="377"/>
      <c r="I11" s="377"/>
      <c r="J11" s="377"/>
      <c r="K11" s="377"/>
      <c r="L11" s="378"/>
    </row>
    <row r="12" spans="1:15" ht="18" customHeight="1" x14ac:dyDescent="0.2">
      <c r="A12" s="1375" t="s">
        <v>272</v>
      </c>
      <c r="B12" s="1376"/>
      <c r="C12" s="1377"/>
      <c r="D12" s="1177" t="s">
        <v>746</v>
      </c>
      <c r="E12" s="380"/>
      <c r="F12" s="344" t="s">
        <v>531</v>
      </c>
      <c r="G12" s="344"/>
      <c r="H12" s="344"/>
      <c r="I12" s="344" t="s">
        <v>39</v>
      </c>
      <c r="J12" s="437">
        <f>IF(I24="","N/A", I24)</f>
        <v>43101</v>
      </c>
      <c r="K12" s="343" t="s">
        <v>47</v>
      </c>
      <c r="L12" s="437">
        <f>IF(I25="","N/A", I25)</f>
        <v>43190</v>
      </c>
    </row>
    <row r="13" spans="1:15" ht="18" customHeight="1" x14ac:dyDescent="0.2">
      <c r="A13" s="381"/>
      <c r="B13" s="381"/>
      <c r="C13" s="107"/>
      <c r="D13" s="382"/>
      <c r="E13" s="345"/>
      <c r="F13" s="344" t="s">
        <v>530</v>
      </c>
      <c r="G13" s="344"/>
      <c r="H13" s="344"/>
      <c r="I13" s="344" t="s">
        <v>39</v>
      </c>
      <c r="J13" s="437" t="str">
        <f>IF(I26="","N/A", I26)</f>
        <v>N/A</v>
      </c>
      <c r="K13" s="343" t="s">
        <v>47</v>
      </c>
      <c r="L13" s="437" t="str">
        <f>IF(I27="","N/A", I27)</f>
        <v>N/A</v>
      </c>
      <c r="M13" s="383"/>
      <c r="N13" s="383"/>
      <c r="O13" s="383"/>
    </row>
    <row r="14" spans="1:15" ht="18" customHeight="1" x14ac:dyDescent="0.2">
      <c r="A14" s="381"/>
      <c r="B14" s="381"/>
      <c r="C14" s="348"/>
      <c r="D14" s="383"/>
      <c r="E14" s="374"/>
      <c r="F14" s="329"/>
      <c r="G14" s="329"/>
      <c r="H14" s="383"/>
      <c r="I14" s="383"/>
      <c r="J14" s="383"/>
      <c r="K14" s="383"/>
      <c r="L14" s="383"/>
    </row>
    <row r="15" spans="1:15" ht="20.25" x14ac:dyDescent="0.2">
      <c r="A15" s="102"/>
      <c r="B15" s="4"/>
      <c r="C15" s="53"/>
      <c r="D15" s="347"/>
      <c r="E15" s="384"/>
      <c r="F15" s="122"/>
      <c r="G15" s="122"/>
      <c r="H15" s="381"/>
    </row>
    <row r="16" spans="1:15" ht="15" x14ac:dyDescent="0.2">
      <c r="A16" s="102"/>
      <c r="B16" s="5"/>
      <c r="G16" s="6"/>
      <c r="N16" s="53"/>
    </row>
    <row r="17" spans="1:15" ht="15" x14ac:dyDescent="0.2">
      <c r="A17" s="102"/>
      <c r="B17" s="5"/>
    </row>
    <row r="18" spans="1:15" ht="15" x14ac:dyDescent="0.2">
      <c r="A18" s="102"/>
      <c r="B18" s="5"/>
      <c r="C18" s="20"/>
      <c r="D18" s="20"/>
    </row>
    <row r="19" spans="1:15" x14ac:dyDescent="0.2">
      <c r="C19" s="20"/>
      <c r="D19" s="20"/>
    </row>
    <row r="21" spans="1:15" ht="93.75" customHeight="1" x14ac:dyDescent="0.2">
      <c r="A21" s="895"/>
      <c r="B21" s="895"/>
      <c r="C21" s="895"/>
      <c r="D21" s="895"/>
      <c r="E21" s="895"/>
      <c r="F21" s="895"/>
      <c r="G21" s="895"/>
      <c r="H21" s="895"/>
      <c r="I21" s="895"/>
      <c r="J21" s="895"/>
      <c r="K21" s="895"/>
      <c r="L21" s="895"/>
      <c r="M21" s="895"/>
      <c r="N21" s="533"/>
      <c r="O21" s="533"/>
    </row>
    <row r="22" spans="1:15" ht="31.5" customHeight="1" x14ac:dyDescent="0.2">
      <c r="A22" s="900"/>
      <c r="B22" s="894"/>
      <c r="C22" s="895"/>
      <c r="D22" s="895"/>
      <c r="E22" s="895"/>
      <c r="F22" s="895"/>
      <c r="G22" s="895"/>
      <c r="H22" s="895"/>
      <c r="I22" s="895"/>
      <c r="J22" s="895"/>
      <c r="K22" s="895"/>
      <c r="L22" s="895"/>
      <c r="M22" s="895"/>
      <c r="N22" s="533"/>
      <c r="O22" s="533"/>
    </row>
    <row r="23" spans="1:15" ht="27.75" hidden="1" customHeight="1" x14ac:dyDescent="0.25">
      <c r="A23" s="900"/>
      <c r="B23" s="896"/>
      <c r="C23" s="895"/>
      <c r="D23" s="895"/>
      <c r="E23" s="895"/>
      <c r="F23" s="895"/>
      <c r="G23" s="895"/>
      <c r="H23" s="897" t="s">
        <v>371</v>
      </c>
      <c r="I23" s="1180">
        <v>42736</v>
      </c>
      <c r="J23" s="895"/>
      <c r="K23" s="895"/>
      <c r="L23" s="895"/>
      <c r="M23" s="895"/>
      <c r="N23" s="533"/>
      <c r="O23" s="533"/>
    </row>
    <row r="24" spans="1:15" ht="50.25" hidden="1" customHeight="1" x14ac:dyDescent="0.2">
      <c r="A24" s="900"/>
      <c r="B24" s="898"/>
      <c r="C24" s="895"/>
      <c r="D24" s="895"/>
      <c r="E24" s="895"/>
      <c r="F24" s="895"/>
      <c r="G24" s="895"/>
      <c r="H24" s="897" t="s">
        <v>522</v>
      </c>
      <c r="I24" s="1180">
        <v>43101</v>
      </c>
      <c r="J24" s="895"/>
      <c r="K24" s="895"/>
      <c r="L24" s="895"/>
      <c r="M24" s="895"/>
      <c r="N24" s="533"/>
      <c r="O24" s="533"/>
    </row>
    <row r="25" spans="1:15" ht="15.75" hidden="1" customHeight="1" x14ac:dyDescent="0.25">
      <c r="A25" s="899"/>
      <c r="B25" s="899"/>
      <c r="C25" s="895"/>
      <c r="D25" s="895"/>
      <c r="E25" s="895"/>
      <c r="F25" s="895"/>
      <c r="G25" s="895"/>
      <c r="H25" s="897" t="s">
        <v>523</v>
      </c>
      <c r="I25" s="1180">
        <v>43190</v>
      </c>
      <c r="J25" s="895"/>
      <c r="K25" s="895"/>
      <c r="L25" s="895"/>
      <c r="M25" s="895"/>
      <c r="N25" s="533"/>
      <c r="O25" s="533"/>
    </row>
    <row r="26" spans="1:15" ht="32.25" hidden="1" customHeight="1" x14ac:dyDescent="0.25">
      <c r="A26" s="895"/>
      <c r="B26" s="899"/>
      <c r="C26" s="895" t="s">
        <v>407</v>
      </c>
      <c r="D26" s="895" t="str">
        <f>IFERROR("TRUE","FALSE")</f>
        <v>TRUE</v>
      </c>
      <c r="E26" s="895"/>
      <c r="F26" s="895"/>
      <c r="G26" s="895"/>
      <c r="H26" s="897" t="s">
        <v>520</v>
      </c>
      <c r="I26" s="1180"/>
      <c r="J26" s="895"/>
      <c r="K26" s="895"/>
      <c r="L26" s="895"/>
      <c r="M26" s="895"/>
      <c r="N26" s="533"/>
      <c r="O26" s="533"/>
    </row>
    <row r="27" spans="1:15" ht="10.5" hidden="1" customHeight="1" x14ac:dyDescent="0.2">
      <c r="A27" s="895"/>
      <c r="B27" s="895"/>
      <c r="C27" s="895"/>
      <c r="D27" s="895"/>
      <c r="E27" s="895"/>
      <c r="F27" s="895"/>
      <c r="G27" s="895"/>
      <c r="H27" s="895" t="s">
        <v>521</v>
      </c>
      <c r="I27" s="1181"/>
      <c r="J27" s="895"/>
      <c r="K27" s="895"/>
      <c r="L27" s="895"/>
      <c r="M27" s="895"/>
      <c r="N27" s="533"/>
      <c r="O27" s="533"/>
    </row>
    <row r="28" spans="1:15" ht="12.75" hidden="1" customHeight="1" x14ac:dyDescent="0.2">
      <c r="A28" s="895"/>
      <c r="B28" s="895"/>
      <c r="C28" s="895"/>
      <c r="D28" s="895"/>
      <c r="E28" s="895"/>
      <c r="F28" s="895"/>
      <c r="G28" s="895"/>
      <c r="H28" s="895"/>
      <c r="I28" s="895"/>
      <c r="J28" s="895"/>
      <c r="K28" s="895"/>
      <c r="L28" s="895"/>
      <c r="M28" s="895"/>
      <c r="N28" s="533"/>
      <c r="O28" s="533"/>
    </row>
    <row r="29" spans="1:15" hidden="1" x14ac:dyDescent="0.2">
      <c r="A29" s="895"/>
      <c r="B29" s="895"/>
      <c r="C29" s="895"/>
      <c r="D29" s="895"/>
      <c r="E29" s="895"/>
      <c r="F29" s="895"/>
      <c r="G29" s="895"/>
      <c r="H29" s="895"/>
      <c r="I29" s="895"/>
      <c r="J29" s="895"/>
      <c r="K29" s="895"/>
      <c r="L29" s="895"/>
      <c r="M29" s="895"/>
      <c r="N29" s="533"/>
      <c r="O29" s="533"/>
    </row>
    <row r="30" spans="1:15" hidden="1" x14ac:dyDescent="0.2">
      <c r="A30" s="895"/>
      <c r="B30" s="895"/>
      <c r="C30" s="895"/>
      <c r="D30" s="895"/>
      <c r="E30" s="895"/>
      <c r="F30" s="895"/>
      <c r="G30" s="895"/>
      <c r="H30" s="895"/>
      <c r="I30" s="895"/>
      <c r="J30" s="895"/>
      <c r="K30" s="895"/>
      <c r="L30" s="895"/>
      <c r="M30" s="895"/>
      <c r="N30" s="533"/>
      <c r="O30" s="533"/>
    </row>
    <row r="31" spans="1:15" x14ac:dyDescent="0.2">
      <c r="A31" s="895"/>
      <c r="B31" s="895"/>
      <c r="C31" s="895"/>
      <c r="D31" s="895"/>
      <c r="E31" s="895"/>
      <c r="F31" s="895"/>
      <c r="G31" s="895"/>
      <c r="H31" s="895"/>
      <c r="I31" s="895"/>
      <c r="J31" s="895"/>
      <c r="K31" s="895"/>
      <c r="L31" s="895"/>
      <c r="M31" s="895"/>
      <c r="N31" s="533"/>
      <c r="O31" s="533"/>
    </row>
    <row r="32" spans="1:15" x14ac:dyDescent="0.2">
      <c r="A32" s="895"/>
      <c r="B32" s="895"/>
      <c r="C32" s="895"/>
      <c r="D32" s="895"/>
      <c r="E32" s="895"/>
      <c r="F32" s="895"/>
      <c r="G32" s="895"/>
      <c r="H32" s="895"/>
      <c r="I32" s="895"/>
      <c r="J32" s="895"/>
      <c r="K32" s="895"/>
      <c r="L32" s="895"/>
      <c r="M32" s="895"/>
      <c r="N32" s="533"/>
      <c r="O32" s="533"/>
    </row>
    <row r="33" spans="1:15" x14ac:dyDescent="0.2">
      <c r="A33" s="895"/>
      <c r="B33" s="895"/>
      <c r="C33" s="895"/>
      <c r="D33" s="895"/>
      <c r="E33" s="895"/>
      <c r="F33" s="895"/>
      <c r="G33" s="895"/>
      <c r="H33" s="895"/>
      <c r="I33" s="895"/>
      <c r="J33" s="895"/>
      <c r="K33" s="895"/>
      <c r="L33" s="895"/>
      <c r="M33" s="895"/>
      <c r="N33" s="533"/>
      <c r="O33" s="533"/>
    </row>
    <row r="34" spans="1:15" x14ac:dyDescent="0.2">
      <c r="A34" s="895"/>
      <c r="B34" s="895"/>
      <c r="C34" s="895"/>
      <c r="D34" s="895"/>
      <c r="E34" s="895"/>
      <c r="F34" s="895"/>
      <c r="G34" s="895"/>
      <c r="H34" s="895"/>
      <c r="I34" s="895"/>
      <c r="J34" s="895"/>
      <c r="K34" s="895"/>
      <c r="L34" s="895"/>
      <c r="M34" s="895"/>
      <c r="N34" s="533"/>
      <c r="O34" s="533"/>
    </row>
    <row r="35" spans="1:15" x14ac:dyDescent="0.2">
      <c r="A35" s="895"/>
      <c r="B35" s="895"/>
      <c r="C35" s="895"/>
      <c r="D35" s="895"/>
      <c r="E35" s="895"/>
      <c r="F35" s="895"/>
      <c r="G35" s="895"/>
      <c r="H35" s="895"/>
      <c r="I35" s="895"/>
      <c r="J35" s="895"/>
      <c r="K35" s="895"/>
      <c r="L35" s="895"/>
      <c r="M35" s="895"/>
      <c r="N35" s="533"/>
      <c r="O35" s="533"/>
    </row>
    <row r="36" spans="1:15" x14ac:dyDescent="0.2">
      <c r="A36" s="895"/>
      <c r="B36" s="895"/>
      <c r="C36" s="895"/>
      <c r="D36" s="895"/>
      <c r="E36" s="895"/>
      <c r="F36" s="895"/>
      <c r="G36" s="895"/>
      <c r="H36" s="895"/>
      <c r="I36" s="895"/>
      <c r="J36" s="895"/>
      <c r="K36" s="895"/>
      <c r="L36" s="895"/>
      <c r="M36" s="895"/>
      <c r="N36" s="533"/>
      <c r="O36" s="533"/>
    </row>
    <row r="37" spans="1:15" x14ac:dyDescent="0.2">
      <c r="A37" s="895"/>
      <c r="B37" s="895"/>
      <c r="C37" s="895"/>
      <c r="D37" s="895"/>
      <c r="E37" s="895"/>
      <c r="F37" s="895"/>
      <c r="G37" s="895"/>
      <c r="H37" s="895"/>
      <c r="I37" s="895"/>
      <c r="J37" s="895"/>
      <c r="K37" s="895"/>
      <c r="L37" s="895"/>
      <c r="M37" s="895"/>
      <c r="N37" s="533"/>
      <c r="O37" s="533"/>
    </row>
    <row r="38" spans="1:15" x14ac:dyDescent="0.2">
      <c r="A38" s="895"/>
      <c r="B38" s="895"/>
      <c r="C38" s="895"/>
      <c r="D38" s="895"/>
      <c r="E38" s="895"/>
      <c r="F38" s="895"/>
      <c r="G38" s="895"/>
      <c r="H38" s="895"/>
      <c r="I38" s="895"/>
      <c r="J38" s="895"/>
      <c r="K38" s="895"/>
      <c r="L38" s="895"/>
      <c r="M38" s="895"/>
      <c r="N38" s="533"/>
      <c r="O38" s="533"/>
    </row>
    <row r="39" spans="1:15" x14ac:dyDescent="0.2">
      <c r="A39" s="895"/>
      <c r="B39" s="895"/>
      <c r="C39" s="895"/>
      <c r="D39" s="895"/>
      <c r="E39" s="895"/>
      <c r="F39" s="895"/>
      <c r="G39" s="895"/>
      <c r="H39" s="895"/>
      <c r="I39" s="895"/>
      <c r="J39" s="895"/>
      <c r="K39" s="895"/>
      <c r="L39" s="895"/>
      <c r="M39" s="895"/>
      <c r="N39" s="533"/>
      <c r="O39" s="533"/>
    </row>
    <row r="40" spans="1:15" x14ac:dyDescent="0.2">
      <c r="A40" s="895"/>
      <c r="B40" s="895"/>
      <c r="C40" s="895"/>
      <c r="D40" s="895"/>
      <c r="E40" s="895"/>
      <c r="F40" s="895"/>
      <c r="G40" s="895"/>
      <c r="H40" s="895"/>
      <c r="I40" s="895"/>
      <c r="J40" s="895"/>
      <c r="K40" s="895"/>
      <c r="L40" s="895"/>
      <c r="M40" s="895"/>
      <c r="N40" s="533"/>
      <c r="O40" s="533"/>
    </row>
    <row r="41" spans="1:15" x14ac:dyDescent="0.2">
      <c r="A41" s="895"/>
      <c r="B41" s="895"/>
      <c r="C41" s="895"/>
      <c r="D41" s="895"/>
      <c r="E41" s="895"/>
      <c r="F41" s="895"/>
      <c r="G41" s="895"/>
      <c r="H41" s="895"/>
      <c r="I41" s="895"/>
      <c r="J41" s="895"/>
      <c r="K41" s="895"/>
      <c r="L41" s="895"/>
      <c r="M41" s="895"/>
      <c r="N41" s="533"/>
      <c r="O41" s="533"/>
    </row>
    <row r="42" spans="1:15" x14ac:dyDescent="0.2">
      <c r="B42" s="895"/>
      <c r="C42" s="533"/>
      <c r="D42" s="533"/>
      <c r="E42" s="533"/>
      <c r="F42" s="533"/>
      <c r="G42" s="533"/>
      <c r="H42" s="533"/>
      <c r="I42" s="533"/>
      <c r="J42" s="533"/>
      <c r="K42" s="533"/>
      <c r="L42" s="533"/>
      <c r="M42" s="533"/>
      <c r="N42" s="533"/>
      <c r="O42" s="533"/>
    </row>
    <row r="43" spans="1:15" x14ac:dyDescent="0.2">
      <c r="B43" s="895"/>
      <c r="C43" s="533"/>
      <c r="D43" s="533"/>
      <c r="E43" s="533"/>
      <c r="F43" s="533"/>
      <c r="G43" s="533"/>
      <c r="H43" s="533"/>
      <c r="I43" s="533"/>
      <c r="J43" s="533"/>
      <c r="K43" s="533"/>
      <c r="L43" s="533"/>
      <c r="M43" s="533"/>
      <c r="N43" s="533"/>
      <c r="O43" s="533"/>
    </row>
    <row r="44" spans="1:15" x14ac:dyDescent="0.2">
      <c r="C44" s="533"/>
      <c r="D44" s="533"/>
      <c r="E44" s="533"/>
      <c r="F44" s="533"/>
      <c r="G44" s="533"/>
      <c r="H44" s="533"/>
      <c r="I44" s="533"/>
      <c r="J44" s="533"/>
      <c r="K44" s="533"/>
      <c r="L44" s="533"/>
      <c r="M44" s="533"/>
      <c r="N44" s="533"/>
      <c r="O44" s="533"/>
    </row>
    <row r="45" spans="1:15" x14ac:dyDescent="0.2">
      <c r="C45" s="533"/>
      <c r="D45" s="533"/>
      <c r="E45" s="533"/>
      <c r="F45" s="533"/>
      <c r="G45" s="533"/>
      <c r="H45" s="533"/>
      <c r="I45" s="533"/>
      <c r="J45" s="533"/>
      <c r="K45" s="533"/>
      <c r="L45" s="533"/>
      <c r="M45" s="533"/>
      <c r="N45" s="533"/>
      <c r="O45" s="533"/>
    </row>
    <row r="46" spans="1:15" x14ac:dyDescent="0.2">
      <c r="C46" s="533"/>
      <c r="D46" s="533"/>
      <c r="E46" s="533"/>
      <c r="F46" s="533"/>
      <c r="G46" s="533"/>
      <c r="H46" s="533"/>
      <c r="I46" s="533"/>
      <c r="J46" s="533"/>
      <c r="K46" s="533"/>
      <c r="L46" s="533"/>
      <c r="M46" s="533"/>
      <c r="N46" s="533"/>
      <c r="O46" s="533"/>
    </row>
    <row r="47" spans="1:15" x14ac:dyDescent="0.2">
      <c r="C47" s="533"/>
      <c r="D47" s="533"/>
      <c r="E47" s="533"/>
      <c r="F47" s="533"/>
      <c r="G47" s="533"/>
      <c r="H47" s="533"/>
      <c r="I47" s="533"/>
      <c r="J47" s="533"/>
      <c r="K47" s="533"/>
      <c r="L47" s="533"/>
      <c r="M47" s="533"/>
      <c r="N47" s="533"/>
      <c r="O47" s="533"/>
    </row>
    <row r="48" spans="1:15" x14ac:dyDescent="0.2">
      <c r="C48" s="533"/>
      <c r="D48" s="533"/>
      <c r="E48" s="533"/>
      <c r="F48" s="533"/>
      <c r="G48" s="533"/>
      <c r="H48" s="533"/>
      <c r="I48" s="533"/>
      <c r="J48" s="533"/>
      <c r="K48" s="533"/>
      <c r="L48" s="533"/>
      <c r="M48" s="533"/>
      <c r="N48" s="533"/>
      <c r="O48" s="533"/>
    </row>
    <row r="49" spans="3:15" x14ac:dyDescent="0.2">
      <c r="C49" s="533"/>
      <c r="D49" s="533"/>
      <c r="E49" s="533"/>
      <c r="F49" s="533"/>
      <c r="G49" s="533"/>
      <c r="H49" s="533"/>
      <c r="I49" s="533"/>
      <c r="J49" s="533"/>
      <c r="K49" s="533"/>
      <c r="L49" s="533"/>
      <c r="M49" s="533"/>
      <c r="N49" s="533"/>
      <c r="O49" s="533"/>
    </row>
  </sheetData>
  <sheetProtection algorithmName="SHA-512" hashValue="m0+Tmz1xtOYmxnleKgvyAbMD5WH0DsrmTUdBsVVLFNjsm9T30mNNU6x5Iu3IE1rGy4Mr8gtrtq/KTbB32M7nvA==" saltValue="moI5v0FPDKQfHVeC4zD5Qg==" spinCount="100000" sheet="1" objects="1" scenarios="1" formatColumns="0" formatRows="0" sort="0" autoFilter="0"/>
  <mergeCells count="12">
    <mergeCell ref="A12:C12"/>
    <mergeCell ref="A8:C8"/>
    <mergeCell ref="A9:C9"/>
    <mergeCell ref="F8:L8"/>
    <mergeCell ref="A10:C10"/>
    <mergeCell ref="A11:C11"/>
    <mergeCell ref="A7:C7"/>
    <mergeCell ref="A1:L1"/>
    <mergeCell ref="M1:O1"/>
    <mergeCell ref="A2:O3"/>
    <mergeCell ref="A5:C5"/>
    <mergeCell ref="A6:C6"/>
  </mergeCells>
  <dataValidations count="10">
    <dataValidation type="list" allowBlank="1" showInputMessage="1" showErrorMessage="1" errorTitle="X-Author for Excel" error="Please select either TRUE or FALSE from the dropdown." promptTitle="X-Author for Excel" sqref="D26">
      <formula1>"TRUE,FALSE"</formula1>
    </dataValidation>
    <dataValidation type="date" allowBlank="1" showInputMessage="1" showErrorMessage="1" errorTitle="X-Author for Excel" error="Please enter a valid date." promptTitle="X-Author for Excel" sqref="J6">
      <formula1>1</formula1>
      <formula2>767376</formula2>
    </dataValidation>
    <dataValidation type="date" allowBlank="1" showInputMessage="1" showErrorMessage="1" errorTitle="X-Author for Excel" error="Please enter a valid date." promptTitle="X-Author for Excel" sqref="L6">
      <formula1>1</formula1>
      <formula2>767376</formula2>
    </dataValidation>
    <dataValidation type="date" allowBlank="1" showInputMessage="1" showErrorMessage="1" errorTitle="X-Author for Excel" error="Please enter a valid date." promptTitle="X-Author for Excel" sqref="D10">
      <formula1>1</formula1>
      <formula2>767376</formula2>
    </dataValidation>
    <dataValidation type="date" allowBlank="1" showInputMessage="1" showErrorMessage="1" errorTitle="X-Author for Excel" error="Please enter a valid date." promptTitle="X-Author for Excel" sqref="I23">
      <formula1>1</formula1>
      <formula2>767376</formula2>
    </dataValidation>
    <dataValidation type="date" allowBlank="1" showInputMessage="1" showErrorMessage="1" errorTitle="X-Author for Excel" error="Please enter a valid date." promptTitle="X-Author for Excel" sqref="I24">
      <formula1>1</formula1>
      <formula2>767376</formula2>
    </dataValidation>
    <dataValidation type="date" allowBlank="1" showInputMessage="1" showErrorMessage="1" errorTitle="X-Author for Excel" error="Please enter a valid date." promptTitle="X-Author for Excel" sqref="I25">
      <formula1>1</formula1>
      <formula2>767376</formula2>
    </dataValidation>
    <dataValidation type="date" allowBlank="1" showInputMessage="1" showErrorMessage="1" errorTitle="X-Author for Excel" error="Please enter a valid date." promptTitle="X-Author for Excel" sqref="I26">
      <formula1>1</formula1>
      <formula2>767376</formula2>
    </dataValidation>
    <dataValidation type="date" allowBlank="1" showInputMessage="1" showErrorMessage="1" errorTitle="X-Author for Excel" error="Please enter a valid date." promptTitle="X-Author for Excel" sqref="I27">
      <formula1>1</formula1>
      <formula2>767376</formula2>
    </dataValidation>
    <dataValidation type="list" allowBlank="1" showInputMessage="1" showErrorMessage="1" errorTitle="X-Author for Excel" error="Please select a value from the drop-down." promptTitle="X-Author for Excel" sqref="D11">
      <formula1>IF(IFERROR(ROWS(INDIRECT(SUBSTITUTE("AIM_Implementation_Period__c.AIM_Grant_Currency__c"," ","_"))),-1) &lt; 0, XAuthorInvalidPicklistData,INDIRECT(SUBSTITUTE("AIM_Implementation_Period__c.AIM_Grant_Currency__c"," ","_")))</formula1>
    </dataValidation>
  </dataValidations>
  <printOptions horizontalCentered="1" verticalCentered="1"/>
  <pageMargins left="0.23622047244094491" right="0.23622047244094491" top="0.74803149606299213" bottom="0.74803149606299213" header="0.31496062992125984" footer="0.31496062992125984"/>
  <pageSetup paperSize="9" scale="47" orientation="landscape" r:id="rId1"/>
  <headerFooter alignWithMargins="0">
    <oddFooter>&amp;A</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2" filterMode="1">
    <tabColor rgb="FFFFFF00"/>
  </sheetPr>
  <dimension ref="A1:W115"/>
  <sheetViews>
    <sheetView showGridLines="0" view="pageBreakPreview" topLeftCell="E8" zoomScale="55" zoomScaleNormal="60" zoomScaleSheetLayoutView="55" workbookViewId="0">
      <selection activeCell="G16" sqref="G16"/>
    </sheetView>
  </sheetViews>
  <sheetFormatPr defaultColWidth="9.140625" defaultRowHeight="12.75" x14ac:dyDescent="0.2"/>
  <cols>
    <col min="1" max="1" width="36.140625" style="19" customWidth="1"/>
    <col min="2" max="2" width="27" style="19" customWidth="1"/>
    <col min="3" max="3" width="24.140625" style="19" customWidth="1"/>
    <col min="4" max="4" width="21" style="19" customWidth="1"/>
    <col min="5" max="5" width="21.42578125" style="19" customWidth="1"/>
    <col min="6" max="8" width="22" style="19" customWidth="1"/>
    <col min="9" max="9" width="24.85546875" style="19" customWidth="1"/>
    <col min="10" max="10" width="20.140625" style="1371" customWidth="1"/>
    <col min="11" max="11" width="38.42578125" style="19" customWidth="1"/>
    <col min="12" max="12" width="20.140625" style="19" customWidth="1"/>
    <col min="13" max="13" width="21.140625" style="19" customWidth="1"/>
    <col min="14" max="14" width="44.85546875" style="19" customWidth="1"/>
    <col min="15" max="15" width="23.42578125" style="19" hidden="1" customWidth="1"/>
    <col min="16" max="16" width="16.42578125" style="19" hidden="1" customWidth="1"/>
    <col min="17" max="17" width="5.85546875" style="19" hidden="1" customWidth="1"/>
    <col min="18" max="18" width="3.42578125" style="94" hidden="1" customWidth="1"/>
    <col min="19" max="22" width="9.140625" style="94" hidden="1" customWidth="1"/>
    <col min="23" max="23" width="0.5703125" style="94" customWidth="1"/>
    <col min="24" max="16384" width="9.140625" style="94"/>
  </cols>
  <sheetData>
    <row r="1" spans="1:23" ht="51.75" customHeight="1" thickBot="1" x14ac:dyDescent="0.65">
      <c r="A1" s="680" t="str">
        <f>IF(CoverSheet!J12="N/A","Progress Report","Progress Report with Disbursement Request")</f>
        <v>Progress Report with Disbursement Request</v>
      </c>
      <c r="B1" s="144"/>
      <c r="C1" s="144"/>
      <c r="D1" s="144"/>
      <c r="E1" s="144"/>
      <c r="F1" s="144"/>
      <c r="G1" s="144"/>
      <c r="H1" s="144"/>
      <c r="I1" s="679"/>
      <c r="J1" s="1361"/>
      <c r="K1" s="118"/>
      <c r="L1" s="118"/>
    </row>
    <row r="2" spans="1:23" s="133" customFormat="1" ht="36.75" customHeight="1" x14ac:dyDescent="0.2">
      <c r="A2" s="1485" t="s">
        <v>162</v>
      </c>
      <c r="B2" s="1486"/>
      <c r="C2" s="1489" t="str">
        <f>CoverSheet!F9</f>
        <v>Period of Financial Reporting</v>
      </c>
      <c r="D2" s="1490"/>
      <c r="E2" s="833" t="str">
        <f>CoverSheet!I9</f>
        <v>Beginning Date:</v>
      </c>
      <c r="F2" s="834">
        <f>IF(CoverSheet!J9="","N/A",CoverSheet!J9)</f>
        <v>42736</v>
      </c>
      <c r="G2" s="833" t="str">
        <f>CoverSheet!K9</f>
        <v>End Date:</v>
      </c>
      <c r="H2" s="835">
        <f>IF(CoverSheet!L9="","N/A",CoverSheet!L9)</f>
        <v>43100</v>
      </c>
      <c r="I2" s="849"/>
      <c r="J2" s="1362"/>
      <c r="K2" s="849"/>
      <c r="L2" s="849"/>
      <c r="M2" s="849"/>
      <c r="N2" s="850"/>
      <c r="O2" s="140"/>
      <c r="P2" s="140"/>
      <c r="Q2" s="140"/>
    </row>
    <row r="3" spans="1:23" s="133" customFormat="1" ht="34.5" customHeight="1" thickBot="1" x14ac:dyDescent="0.25">
      <c r="A3" s="1487"/>
      <c r="B3" s="1488"/>
      <c r="C3" s="1510" t="s">
        <v>538</v>
      </c>
      <c r="D3" s="1511"/>
      <c r="E3" s="841" t="str">
        <f>CoverSheet!I9</f>
        <v>Beginning Date:</v>
      </c>
      <c r="F3" s="842">
        <f>IF(_00de7129_653b_4d69_830e_62f54dcfdb6c="","N/A",_00de7129_653b_4d69_830e_62f54dcfdb6c)</f>
        <v>42095</v>
      </c>
      <c r="G3" s="841" t="str">
        <f>CoverSheet!K9</f>
        <v>End Date:</v>
      </c>
      <c r="H3" s="839">
        <f>IF(CoverSheet!L9="","N/A",CoverSheet!L9)</f>
        <v>43100</v>
      </c>
      <c r="I3" s="851"/>
      <c r="J3" s="1363"/>
      <c r="K3" s="851"/>
      <c r="L3" s="851"/>
      <c r="M3" s="851"/>
      <c r="N3" s="852"/>
      <c r="O3" s="140"/>
      <c r="P3" s="140"/>
      <c r="Q3" s="140"/>
    </row>
    <row r="4" spans="1:23" s="97" customFormat="1" ht="18" customHeight="1" thickBot="1" x14ac:dyDescent="0.25">
      <c r="A4" s="682"/>
      <c r="B4" s="682"/>
      <c r="C4" s="682"/>
      <c r="D4" s="682"/>
      <c r="E4" s="682"/>
      <c r="F4" s="682"/>
      <c r="G4" s="682"/>
      <c r="H4" s="682"/>
      <c r="I4" s="682"/>
      <c r="J4" s="1364"/>
      <c r="K4" s="682"/>
      <c r="L4" s="682"/>
      <c r="M4" s="682"/>
      <c r="N4" s="122"/>
      <c r="O4" s="122"/>
      <c r="P4" s="122"/>
      <c r="Q4" s="122"/>
    </row>
    <row r="5" spans="1:23" ht="39.75" customHeight="1" thickBot="1" x14ac:dyDescent="0.25">
      <c r="A5" s="1501" t="s">
        <v>416</v>
      </c>
      <c r="B5" s="1502"/>
      <c r="C5" s="1502"/>
      <c r="D5" s="1502"/>
      <c r="E5" s="1502"/>
      <c r="F5" s="1502"/>
      <c r="G5" s="1502"/>
      <c r="H5" s="1502"/>
      <c r="I5" s="1502"/>
      <c r="J5" s="1503"/>
      <c r="K5" s="1502"/>
      <c r="L5" s="1502"/>
      <c r="M5" s="1502"/>
      <c r="N5" s="1502"/>
      <c r="O5" s="1502"/>
      <c r="P5" s="1502"/>
      <c r="Q5" s="1502"/>
      <c r="R5" s="809"/>
      <c r="S5" s="809"/>
      <c r="T5" s="809"/>
      <c r="U5" s="809"/>
      <c r="V5" s="809"/>
      <c r="W5" s="442"/>
    </row>
    <row r="6" spans="1:23" ht="21" thickBot="1" x14ac:dyDescent="0.25">
      <c r="A6" s="146"/>
      <c r="B6" s="146"/>
      <c r="C6" s="146"/>
      <c r="D6" s="146"/>
      <c r="E6" s="146"/>
      <c r="F6" s="146"/>
      <c r="G6" s="146"/>
      <c r="H6" s="146"/>
      <c r="I6" s="146"/>
      <c r="J6" s="1365"/>
      <c r="O6" s="46"/>
      <c r="R6" s="98"/>
      <c r="S6" s="98"/>
      <c r="T6" s="98"/>
      <c r="U6" s="98"/>
      <c r="V6" s="98"/>
      <c r="W6" s="444"/>
    </row>
    <row r="7" spans="1:23" ht="33.75" customHeight="1" thickBot="1" x14ac:dyDescent="0.25">
      <c r="A7" s="1504" t="s">
        <v>70</v>
      </c>
      <c r="B7" s="1504"/>
      <c r="C7" s="1504"/>
      <c r="D7" s="1504"/>
      <c r="E7" s="1504"/>
      <c r="F7" s="1504"/>
      <c r="G7" s="1504"/>
      <c r="H7" s="1504"/>
      <c r="I7" s="1504"/>
      <c r="J7" s="1505"/>
      <c r="K7" s="1504"/>
      <c r="L7" s="1506" t="s">
        <v>143</v>
      </c>
      <c r="M7" s="1506"/>
      <c r="N7" s="1506"/>
      <c r="O7" s="1507" t="s">
        <v>101</v>
      </c>
      <c r="P7" s="1508"/>
      <c r="Q7" s="1509"/>
      <c r="R7" s="446"/>
      <c r="S7" s="446"/>
      <c r="T7" s="446"/>
      <c r="U7" s="446"/>
      <c r="V7" s="446"/>
      <c r="W7" s="816"/>
    </row>
    <row r="8" spans="1:23" ht="129.75" customHeight="1" x14ac:dyDescent="0.2">
      <c r="A8" s="535" t="s">
        <v>144</v>
      </c>
      <c r="B8" s="535" t="s">
        <v>158</v>
      </c>
      <c r="C8" s="535" t="s">
        <v>145</v>
      </c>
      <c r="D8" s="535" t="s">
        <v>223</v>
      </c>
      <c r="E8" s="535" t="s">
        <v>224</v>
      </c>
      <c r="F8" s="535" t="s">
        <v>225</v>
      </c>
      <c r="G8" s="934" t="s">
        <v>547</v>
      </c>
      <c r="H8" s="934" t="s">
        <v>548</v>
      </c>
      <c r="I8" s="934" t="s">
        <v>549</v>
      </c>
      <c r="J8" s="1366" t="s">
        <v>550</v>
      </c>
      <c r="K8" s="535" t="s">
        <v>27</v>
      </c>
      <c r="L8" s="824" t="s">
        <v>114</v>
      </c>
      <c r="M8" s="825" t="s">
        <v>71</v>
      </c>
      <c r="N8" s="824" t="s">
        <v>27</v>
      </c>
      <c r="O8" s="826" t="s">
        <v>142</v>
      </c>
      <c r="P8" s="539" t="s">
        <v>72</v>
      </c>
      <c r="Q8" s="539" t="s">
        <v>27</v>
      </c>
      <c r="R8" s="827"/>
      <c r="S8" s="828"/>
      <c r="T8" s="829" t="s">
        <v>356</v>
      </c>
      <c r="U8" s="829" t="s">
        <v>490</v>
      </c>
      <c r="V8" s="817"/>
      <c r="W8" s="442"/>
    </row>
    <row r="9" spans="1:23" ht="26.25" hidden="1" customHeight="1" x14ac:dyDescent="0.2">
      <c r="A9" s="1309" t="s">
        <v>481</v>
      </c>
      <c r="B9" s="1310" t="s">
        <v>482</v>
      </c>
      <c r="C9" s="1310" t="s">
        <v>483</v>
      </c>
      <c r="D9" s="1310" t="s">
        <v>484</v>
      </c>
      <c r="E9" s="1310" t="s">
        <v>485</v>
      </c>
      <c r="F9" s="1310" t="s">
        <v>486</v>
      </c>
      <c r="G9" s="1310" t="s">
        <v>487</v>
      </c>
      <c r="H9" s="1311" t="str">
        <f>IFERROR(+C9+D9+E9-F9-G9,"")</f>
        <v/>
      </c>
      <c r="I9" s="1310" t="s">
        <v>488</v>
      </c>
      <c r="J9" s="1311" t="str">
        <f>IFERROR(+I9-H9,"")</f>
        <v/>
      </c>
      <c r="K9" s="1312"/>
      <c r="L9" s="1313" t="s">
        <v>489</v>
      </c>
      <c r="M9" s="1314" t="str">
        <f>IFERROR(H9+L9,"")</f>
        <v/>
      </c>
      <c r="N9" s="543"/>
      <c r="O9" s="1315"/>
      <c r="P9" s="1316" t="e">
        <f t="shared" ref="P9:P111" si="0">M9+O9</f>
        <v>#VALUE!</v>
      </c>
      <c r="Q9" s="1317"/>
      <c r="R9" s="827"/>
      <c r="S9" s="828"/>
      <c r="T9" s="829" t="s">
        <v>355</v>
      </c>
      <c r="U9" s="829" t="str">
        <f>IF(OR(A9&lt;&gt;"",B9&lt;&gt;"",C9&lt;&gt;"",D9&lt;&gt;"",E9&lt;&gt;"",F9&lt;&gt;"",G9&lt;&gt;"",I9&lt;&gt;"",L9&lt;&gt;""),'Admin Sheet'!$B$44,"")</f>
        <v>a1Y36000002VIbtEAG</v>
      </c>
      <c r="V9" s="818"/>
      <c r="W9" s="444"/>
    </row>
    <row r="10" spans="1:23" ht="26.25" customHeight="1" x14ac:dyDescent="0.2">
      <c r="A10" s="1309" t="s">
        <v>1606</v>
      </c>
      <c r="B10" s="1310">
        <v>488530.71</v>
      </c>
      <c r="C10" s="1310">
        <v>64881.95</v>
      </c>
      <c r="D10" s="1310">
        <v>330094.51</v>
      </c>
      <c r="E10" s="1310"/>
      <c r="F10" s="1310">
        <v>300569.59999999998</v>
      </c>
      <c r="G10" s="1310">
        <f>93121.66+343.35</f>
        <v>93465.010000000009</v>
      </c>
      <c r="H10" s="1311">
        <f t="shared" ref="H10:H73" si="1">IFERROR(+C10+D10+E10-F10-G10,"")</f>
        <v>941.85000000003492</v>
      </c>
      <c r="I10" s="1310">
        <v>941.85</v>
      </c>
      <c r="J10" s="1367">
        <f t="shared" ref="J10:J73" si="2">IFERROR(+I10-H10,"")</f>
        <v>-3.4901859180536121E-11</v>
      </c>
      <c r="K10" s="1313" t="s">
        <v>1621</v>
      </c>
      <c r="L10" s="1313"/>
      <c r="M10" s="1314">
        <f t="shared" ref="M10:M73" si="3">IFERROR(H10+L10,"")</f>
        <v>941.85000000003492</v>
      </c>
      <c r="N10" s="543"/>
      <c r="O10" s="1315"/>
      <c r="P10" s="1316">
        <f t="shared" si="0"/>
        <v>941.85000000003492</v>
      </c>
      <c r="Q10" s="1317"/>
      <c r="R10" s="827"/>
      <c r="S10" s="828"/>
      <c r="T10" s="1318"/>
      <c r="U10" s="829" t="str">
        <f>IF(OR(A10&lt;&gt;"",B10&lt;&gt;"",C10&lt;&gt;"",D10&lt;&gt;"",E10&lt;&gt;"",F10&lt;&gt;"",G10&lt;&gt;"",I10&lt;&gt;"",L10&lt;&gt;""),'Admin Sheet'!$B$44,"")</f>
        <v>a1Y36000002VIbtEAG</v>
      </c>
      <c r="V10" s="818"/>
      <c r="W10" s="444"/>
    </row>
    <row r="11" spans="1:23" ht="26.25" customHeight="1" x14ac:dyDescent="0.2">
      <c r="A11" s="1309" t="s">
        <v>1607</v>
      </c>
      <c r="B11" s="1310">
        <v>288917.78999999998</v>
      </c>
      <c r="C11" s="1310">
        <v>11850.46</v>
      </c>
      <c r="D11" s="1310">
        <v>229276.43000000002</v>
      </c>
      <c r="E11" s="1310">
        <v>23.84</v>
      </c>
      <c r="F11" s="1310">
        <v>210240.42</v>
      </c>
      <c r="G11" s="1310">
        <f>5020.41+1099.25</f>
        <v>6119.66</v>
      </c>
      <c r="H11" s="1311">
        <f t="shared" si="1"/>
        <v>24790.649999999998</v>
      </c>
      <c r="I11" s="1310">
        <v>24790.65</v>
      </c>
      <c r="J11" s="1367">
        <f t="shared" si="2"/>
        <v>3.637978807091713E-12</v>
      </c>
      <c r="K11" s="1313" t="s">
        <v>1621</v>
      </c>
      <c r="L11" s="1313"/>
      <c r="M11" s="1314">
        <f t="shared" si="3"/>
        <v>24790.649999999998</v>
      </c>
      <c r="N11" s="543"/>
      <c r="O11" s="1315"/>
      <c r="P11" s="1316">
        <f t="shared" si="0"/>
        <v>24790.649999999998</v>
      </c>
      <c r="Q11" s="1317"/>
      <c r="R11" s="827"/>
      <c r="S11" s="828"/>
      <c r="T11" s="1318"/>
      <c r="U11" s="829" t="str">
        <f>IF(OR(A11&lt;&gt;"",B11&lt;&gt;"",C11&lt;&gt;"",D11&lt;&gt;"",E11&lt;&gt;"",F11&lt;&gt;"",G11&lt;&gt;"",I11&lt;&gt;"",L11&lt;&gt;""),'Admin Sheet'!$B$44,"")</f>
        <v>a1Y36000002VIbtEAG</v>
      </c>
      <c r="V11" s="818"/>
      <c r="W11" s="444"/>
    </row>
    <row r="12" spans="1:23" ht="26.25" customHeight="1" x14ac:dyDescent="0.2">
      <c r="A12" s="1309" t="s">
        <v>1608</v>
      </c>
      <c r="B12" s="1310">
        <v>230836.28</v>
      </c>
      <c r="C12" s="1310">
        <v>11886.96</v>
      </c>
      <c r="D12" s="1310">
        <v>160519.33000000002</v>
      </c>
      <c r="E12" s="1310"/>
      <c r="F12" s="1310">
        <v>159049.91</v>
      </c>
      <c r="G12" s="1310">
        <f>5938.41+484.2</f>
        <v>6422.61</v>
      </c>
      <c r="H12" s="1311">
        <f t="shared" si="1"/>
        <v>6933.770000000005</v>
      </c>
      <c r="I12" s="1310">
        <v>6933.75</v>
      </c>
      <c r="J12" s="1367">
        <f t="shared" si="2"/>
        <v>-2.0000000004984031E-2</v>
      </c>
      <c r="K12" s="1313" t="s">
        <v>1621</v>
      </c>
      <c r="L12" s="1313"/>
      <c r="M12" s="1314">
        <f t="shared" si="3"/>
        <v>6933.770000000005</v>
      </c>
      <c r="N12" s="543"/>
      <c r="O12" s="1315"/>
      <c r="P12" s="1316">
        <f t="shared" si="0"/>
        <v>6933.770000000005</v>
      </c>
      <c r="Q12" s="1317"/>
      <c r="R12" s="827"/>
      <c r="S12" s="828"/>
      <c r="T12" s="1318"/>
      <c r="U12" s="829" t="str">
        <f>IF(OR(A12&lt;&gt;"",B12&lt;&gt;"",C12&lt;&gt;"",D12&lt;&gt;"",E12&lt;&gt;"",F12&lt;&gt;"",G12&lt;&gt;"",I12&lt;&gt;"",L12&lt;&gt;""),'Admin Sheet'!$B$44,"")</f>
        <v>a1Y36000002VIbtEAG</v>
      </c>
      <c r="V12" s="818"/>
      <c r="W12" s="444"/>
    </row>
    <row r="13" spans="1:23" ht="26.25" customHeight="1" x14ac:dyDescent="0.2">
      <c r="A13" s="1309" t="s">
        <v>1609</v>
      </c>
      <c r="B13" s="1310">
        <v>505238.8</v>
      </c>
      <c r="C13" s="1310">
        <v>55186.15</v>
      </c>
      <c r="D13" s="1310">
        <v>324966.12</v>
      </c>
      <c r="E13" s="1310">
        <v>0.34</v>
      </c>
      <c r="F13" s="1310">
        <v>315763.31</v>
      </c>
      <c r="G13" s="1310">
        <f>48629.21+1259.42</f>
        <v>49888.63</v>
      </c>
      <c r="H13" s="1311">
        <f t="shared" si="1"/>
        <v>14500.670000000049</v>
      </c>
      <c r="I13" s="1310">
        <v>14500.67</v>
      </c>
      <c r="J13" s="1367">
        <f t="shared" si="2"/>
        <v>-4.9112713895738125E-11</v>
      </c>
      <c r="K13" s="1313" t="s">
        <v>1621</v>
      </c>
      <c r="L13" s="1313"/>
      <c r="M13" s="1314">
        <f t="shared" si="3"/>
        <v>14500.670000000049</v>
      </c>
      <c r="N13" s="543"/>
      <c r="O13" s="1315"/>
      <c r="P13" s="1316">
        <f t="shared" si="0"/>
        <v>14500.670000000049</v>
      </c>
      <c r="Q13" s="1317"/>
      <c r="R13" s="827"/>
      <c r="S13" s="828"/>
      <c r="T13" s="1318"/>
      <c r="U13" s="829" t="str">
        <f>IF(OR(A13&lt;&gt;"",B13&lt;&gt;"",C13&lt;&gt;"",D13&lt;&gt;"",E13&lt;&gt;"",F13&lt;&gt;"",G13&lt;&gt;"",I13&lt;&gt;"",L13&lt;&gt;""),'Admin Sheet'!$B$44,"")</f>
        <v>a1Y36000002VIbtEAG</v>
      </c>
      <c r="V13" s="818"/>
      <c r="W13" s="444"/>
    </row>
    <row r="14" spans="1:23" ht="26.25" customHeight="1" x14ac:dyDescent="0.2">
      <c r="A14" s="1309" t="s">
        <v>1610</v>
      </c>
      <c r="B14" s="1310">
        <v>207255.2</v>
      </c>
      <c r="C14" s="1310">
        <v>18153.599999999999</v>
      </c>
      <c r="D14" s="1310">
        <v>133073.32</v>
      </c>
      <c r="E14" s="1310"/>
      <c r="F14" s="1310">
        <v>135447.6</v>
      </c>
      <c r="G14" s="1310">
        <f>2610.98+969.69</f>
        <v>3580.67</v>
      </c>
      <c r="H14" s="1311">
        <f t="shared" si="1"/>
        <v>12198.650000000007</v>
      </c>
      <c r="I14" s="1310">
        <v>12198.65</v>
      </c>
      <c r="J14" s="1367">
        <f t="shared" si="2"/>
        <v>-7.2759576141834259E-12</v>
      </c>
      <c r="K14" s="1313" t="s">
        <v>1621</v>
      </c>
      <c r="L14" s="1313"/>
      <c r="M14" s="1314">
        <f t="shared" si="3"/>
        <v>12198.650000000007</v>
      </c>
      <c r="N14" s="543"/>
      <c r="O14" s="1315"/>
      <c r="P14" s="1316">
        <f t="shared" si="0"/>
        <v>12198.650000000007</v>
      </c>
      <c r="Q14" s="1317"/>
      <c r="R14" s="827"/>
      <c r="S14" s="828"/>
      <c r="T14" s="1318"/>
      <c r="U14" s="829" t="str">
        <f>IF(OR(A14&lt;&gt;"",B14&lt;&gt;"",C14&lt;&gt;"",D14&lt;&gt;"",E14&lt;&gt;"",F14&lt;&gt;"",G14&lt;&gt;"",I14&lt;&gt;"",L14&lt;&gt;""),'Admin Sheet'!$B$44,"")</f>
        <v>a1Y36000002VIbtEAG</v>
      </c>
      <c r="V14" s="818"/>
      <c r="W14" s="444"/>
    </row>
    <row r="15" spans="1:23" ht="26.25" customHeight="1" x14ac:dyDescent="0.2">
      <c r="A15" s="1309" t="s">
        <v>1611</v>
      </c>
      <c r="B15" s="1310">
        <v>421654.83</v>
      </c>
      <c r="C15" s="1310">
        <v>27830</v>
      </c>
      <c r="D15" s="1310">
        <v>363934.76999999996</v>
      </c>
      <c r="E15" s="1310"/>
      <c r="F15" s="1310">
        <v>359296.63</v>
      </c>
      <c r="G15" s="1310">
        <f>9083.8+1399.91</f>
        <v>10483.709999999999</v>
      </c>
      <c r="H15" s="1311">
        <f t="shared" si="1"/>
        <v>21984.429999999957</v>
      </c>
      <c r="I15" s="1310">
        <v>21984.43</v>
      </c>
      <c r="J15" s="1367">
        <f t="shared" si="2"/>
        <v>4.3655745685100555E-11</v>
      </c>
      <c r="K15" s="1313" t="s">
        <v>1621</v>
      </c>
      <c r="L15" s="1313"/>
      <c r="M15" s="1314">
        <f t="shared" si="3"/>
        <v>21984.429999999957</v>
      </c>
      <c r="N15" s="543"/>
      <c r="O15" s="1315"/>
      <c r="P15" s="1316">
        <f t="shared" si="0"/>
        <v>21984.429999999957</v>
      </c>
      <c r="Q15" s="1317"/>
      <c r="R15" s="827"/>
      <c r="S15" s="828"/>
      <c r="T15" s="1318"/>
      <c r="U15" s="829" t="str">
        <f>IF(OR(A15&lt;&gt;"",B15&lt;&gt;"",C15&lt;&gt;"",D15&lt;&gt;"",E15&lt;&gt;"",F15&lt;&gt;"",G15&lt;&gt;"",I15&lt;&gt;"",L15&lt;&gt;""),'Admin Sheet'!$B$44,"")</f>
        <v>a1Y36000002VIbtEAG</v>
      </c>
      <c r="V15" s="818"/>
      <c r="W15" s="444"/>
    </row>
    <row r="16" spans="1:23" ht="26.25" customHeight="1" x14ac:dyDescent="0.2">
      <c r="A16" s="1309" t="s">
        <v>1620</v>
      </c>
      <c r="B16" s="1310">
        <v>1469639.61</v>
      </c>
      <c r="C16" s="1310">
        <f>22013.64+0</f>
        <v>22013.64</v>
      </c>
      <c r="D16" s="1310">
        <f>393322.6+54749.74</f>
        <v>448072.33999999997</v>
      </c>
      <c r="E16" s="1310"/>
      <c r="F16" s="1310">
        <v>357725.24</v>
      </c>
      <c r="G16" s="1310">
        <f>56776.25+2960.43</f>
        <v>59736.68</v>
      </c>
      <c r="H16" s="1311">
        <f t="shared" si="1"/>
        <v>52624.05999999999</v>
      </c>
      <c r="I16" s="1310">
        <v>52624.06</v>
      </c>
      <c r="J16" s="1367">
        <f t="shared" si="2"/>
        <v>7.2759576141834259E-12</v>
      </c>
      <c r="K16" s="1313" t="s">
        <v>1621</v>
      </c>
      <c r="L16" s="1313"/>
      <c r="M16" s="1314">
        <f t="shared" si="3"/>
        <v>52624.05999999999</v>
      </c>
      <c r="N16" s="543"/>
      <c r="O16" s="1315"/>
      <c r="P16" s="1316">
        <f t="shared" si="0"/>
        <v>52624.05999999999</v>
      </c>
      <c r="Q16" s="1317"/>
      <c r="R16" s="827"/>
      <c r="S16" s="828"/>
      <c r="T16" s="1318"/>
      <c r="U16" s="829" t="str">
        <f>IF(OR(A16&lt;&gt;"",B16&lt;&gt;"",C16&lt;&gt;"",D16&lt;&gt;"",E16&lt;&gt;"",F16&lt;&gt;"",G16&lt;&gt;"",I16&lt;&gt;"",L16&lt;&gt;""),'Admin Sheet'!$B$44,"")</f>
        <v>a1Y36000002VIbtEAG</v>
      </c>
      <c r="V16" s="818"/>
      <c r="W16" s="444"/>
    </row>
    <row r="17" spans="1:23" ht="26.25" hidden="1" customHeight="1" x14ac:dyDescent="0.2">
      <c r="A17" s="1309"/>
      <c r="B17" s="1310"/>
      <c r="C17" s="1310"/>
      <c r="D17" s="1310"/>
      <c r="E17" s="1310"/>
      <c r="F17" s="1310"/>
      <c r="G17" s="1310"/>
      <c r="H17" s="1311">
        <f t="shared" si="1"/>
        <v>0</v>
      </c>
      <c r="I17" s="1310"/>
      <c r="J17" s="1311">
        <f t="shared" si="2"/>
        <v>0</v>
      </c>
      <c r="K17" s="1312"/>
      <c r="L17" s="1313"/>
      <c r="M17" s="1314">
        <f t="shared" si="3"/>
        <v>0</v>
      </c>
      <c r="N17" s="543"/>
      <c r="O17" s="1315"/>
      <c r="P17" s="1316">
        <f t="shared" si="0"/>
        <v>0</v>
      </c>
      <c r="Q17" s="1317"/>
      <c r="R17" s="827"/>
      <c r="S17" s="828"/>
      <c r="T17" s="1318"/>
      <c r="U17" s="829" t="str">
        <f>IF(OR(A17&lt;&gt;"",B17&lt;&gt;"",C17&lt;&gt;"",D17&lt;&gt;"",E17&lt;&gt;"",F17&lt;&gt;"",G17&lt;&gt;"",I17&lt;&gt;"",L17&lt;&gt;""),'Admin Sheet'!$B$44,"")</f>
        <v/>
      </c>
      <c r="V17" s="818"/>
      <c r="W17" s="444"/>
    </row>
    <row r="18" spans="1:23" ht="26.25" hidden="1" customHeight="1" x14ac:dyDescent="0.2">
      <c r="A18" s="1309"/>
      <c r="B18" s="1310"/>
      <c r="C18" s="1310"/>
      <c r="D18" s="1310"/>
      <c r="E18" s="1310"/>
      <c r="F18" s="1310"/>
      <c r="G18" s="1310"/>
      <c r="H18" s="1311">
        <f t="shared" si="1"/>
        <v>0</v>
      </c>
      <c r="I18" s="1310"/>
      <c r="J18" s="1311">
        <f t="shared" si="2"/>
        <v>0</v>
      </c>
      <c r="K18" s="1312"/>
      <c r="L18" s="1313"/>
      <c r="M18" s="1314">
        <f t="shared" si="3"/>
        <v>0</v>
      </c>
      <c r="N18" s="543"/>
      <c r="O18" s="1315"/>
      <c r="P18" s="1316">
        <f t="shared" si="0"/>
        <v>0</v>
      </c>
      <c r="Q18" s="1317"/>
      <c r="R18" s="827"/>
      <c r="S18" s="828"/>
      <c r="T18" s="1318"/>
      <c r="U18" s="829" t="str">
        <f>IF(OR(A18&lt;&gt;"",B18&lt;&gt;"",C18&lt;&gt;"",D18&lt;&gt;"",E18&lt;&gt;"",F18&lt;&gt;"",G18&lt;&gt;"",I18&lt;&gt;"",L18&lt;&gt;""),'Admin Sheet'!$B$44,"")</f>
        <v/>
      </c>
      <c r="V18" s="818"/>
      <c r="W18" s="444"/>
    </row>
    <row r="19" spans="1:23" ht="26.25" hidden="1" customHeight="1" x14ac:dyDescent="0.2">
      <c r="A19" s="1309"/>
      <c r="B19" s="1310"/>
      <c r="C19" s="1310"/>
      <c r="D19" s="1310"/>
      <c r="E19" s="1310"/>
      <c r="F19" s="1310"/>
      <c r="G19" s="1310"/>
      <c r="H19" s="1311">
        <f t="shared" si="1"/>
        <v>0</v>
      </c>
      <c r="I19" s="1310"/>
      <c r="J19" s="1311">
        <f t="shared" si="2"/>
        <v>0</v>
      </c>
      <c r="K19" s="1312"/>
      <c r="L19" s="1313"/>
      <c r="M19" s="1314">
        <f t="shared" si="3"/>
        <v>0</v>
      </c>
      <c r="N19" s="543"/>
      <c r="O19" s="1315"/>
      <c r="P19" s="1316">
        <f t="shared" si="0"/>
        <v>0</v>
      </c>
      <c r="Q19" s="1317"/>
      <c r="R19" s="827"/>
      <c r="S19" s="828"/>
      <c r="T19" s="1318"/>
      <c r="U19" s="829" t="str">
        <f>IF(OR(A19&lt;&gt;"",B19&lt;&gt;"",C19&lt;&gt;"",D19&lt;&gt;"",E19&lt;&gt;"",F19&lt;&gt;"",G19&lt;&gt;"",I19&lt;&gt;"",L19&lt;&gt;""),'Admin Sheet'!$B$44,"")</f>
        <v/>
      </c>
      <c r="V19" s="818"/>
      <c r="W19" s="444"/>
    </row>
    <row r="20" spans="1:23" ht="26.25" hidden="1" customHeight="1" x14ac:dyDescent="0.2">
      <c r="A20" s="1309"/>
      <c r="B20" s="1310"/>
      <c r="C20" s="1310"/>
      <c r="D20" s="1310"/>
      <c r="E20" s="1310"/>
      <c r="F20" s="1310"/>
      <c r="G20" s="1310"/>
      <c r="H20" s="1311">
        <f t="shared" si="1"/>
        <v>0</v>
      </c>
      <c r="I20" s="1310"/>
      <c r="J20" s="1311">
        <f t="shared" si="2"/>
        <v>0</v>
      </c>
      <c r="K20" s="1312"/>
      <c r="L20" s="1313"/>
      <c r="M20" s="1314">
        <f t="shared" si="3"/>
        <v>0</v>
      </c>
      <c r="N20" s="543"/>
      <c r="O20" s="1315"/>
      <c r="P20" s="1316">
        <f t="shared" si="0"/>
        <v>0</v>
      </c>
      <c r="Q20" s="1317"/>
      <c r="R20" s="827"/>
      <c r="S20" s="828"/>
      <c r="T20" s="1318"/>
      <c r="U20" s="829" t="str">
        <f>IF(OR(A20&lt;&gt;"",B20&lt;&gt;"",C20&lt;&gt;"",D20&lt;&gt;"",E20&lt;&gt;"",F20&lt;&gt;"",G20&lt;&gt;"",I20&lt;&gt;"",L20&lt;&gt;""),'Admin Sheet'!$B$44,"")</f>
        <v/>
      </c>
      <c r="V20" s="818"/>
      <c r="W20" s="444"/>
    </row>
    <row r="21" spans="1:23" ht="26.25" hidden="1" customHeight="1" x14ac:dyDescent="0.2">
      <c r="A21" s="1309"/>
      <c r="B21" s="1310"/>
      <c r="C21" s="1310"/>
      <c r="D21" s="1310"/>
      <c r="E21" s="1310"/>
      <c r="F21" s="1310"/>
      <c r="G21" s="1310"/>
      <c r="H21" s="1311">
        <f t="shared" si="1"/>
        <v>0</v>
      </c>
      <c r="I21" s="1310"/>
      <c r="J21" s="1311">
        <f t="shared" si="2"/>
        <v>0</v>
      </c>
      <c r="K21" s="1312"/>
      <c r="L21" s="1313"/>
      <c r="M21" s="1314">
        <f t="shared" si="3"/>
        <v>0</v>
      </c>
      <c r="N21" s="543"/>
      <c r="O21" s="1315"/>
      <c r="P21" s="1316">
        <f t="shared" si="0"/>
        <v>0</v>
      </c>
      <c r="Q21" s="1317"/>
      <c r="R21" s="827"/>
      <c r="S21" s="828"/>
      <c r="T21" s="1318"/>
      <c r="U21" s="829" t="str">
        <f>IF(OR(A21&lt;&gt;"",B21&lt;&gt;"",C21&lt;&gt;"",D21&lt;&gt;"",E21&lt;&gt;"",F21&lt;&gt;"",G21&lt;&gt;"",I21&lt;&gt;"",L21&lt;&gt;""),'Admin Sheet'!$B$44,"")</f>
        <v/>
      </c>
      <c r="V21" s="818"/>
      <c r="W21" s="444"/>
    </row>
    <row r="22" spans="1:23" ht="26.25" hidden="1" customHeight="1" x14ac:dyDescent="0.2">
      <c r="A22" s="1309"/>
      <c r="B22" s="1310"/>
      <c r="C22" s="1310"/>
      <c r="D22" s="1310"/>
      <c r="E22" s="1310"/>
      <c r="F22" s="1310"/>
      <c r="G22" s="1310"/>
      <c r="H22" s="1311">
        <f t="shared" si="1"/>
        <v>0</v>
      </c>
      <c r="I22" s="1310"/>
      <c r="J22" s="1311">
        <f t="shared" si="2"/>
        <v>0</v>
      </c>
      <c r="K22" s="1312"/>
      <c r="L22" s="1313"/>
      <c r="M22" s="1314">
        <f t="shared" si="3"/>
        <v>0</v>
      </c>
      <c r="N22" s="543"/>
      <c r="O22" s="1315"/>
      <c r="P22" s="1316">
        <f t="shared" si="0"/>
        <v>0</v>
      </c>
      <c r="Q22" s="1317"/>
      <c r="R22" s="827"/>
      <c r="S22" s="828"/>
      <c r="T22" s="1318"/>
      <c r="U22" s="829" t="str">
        <f>IF(OR(A22&lt;&gt;"",B22&lt;&gt;"",C22&lt;&gt;"",D22&lt;&gt;"",E22&lt;&gt;"",F22&lt;&gt;"",G22&lt;&gt;"",I22&lt;&gt;"",L22&lt;&gt;""),'Admin Sheet'!$B$44,"")</f>
        <v/>
      </c>
      <c r="V22" s="818"/>
      <c r="W22" s="444"/>
    </row>
    <row r="23" spans="1:23" ht="26.25" hidden="1" customHeight="1" x14ac:dyDescent="0.2">
      <c r="A23" s="1309"/>
      <c r="B23" s="1310"/>
      <c r="C23" s="1310"/>
      <c r="D23" s="1310"/>
      <c r="E23" s="1310"/>
      <c r="F23" s="1310"/>
      <c r="G23" s="1310"/>
      <c r="H23" s="1311">
        <f t="shared" si="1"/>
        <v>0</v>
      </c>
      <c r="I23" s="1310"/>
      <c r="J23" s="1311">
        <f t="shared" si="2"/>
        <v>0</v>
      </c>
      <c r="K23" s="1312"/>
      <c r="L23" s="1313"/>
      <c r="M23" s="1314">
        <f t="shared" si="3"/>
        <v>0</v>
      </c>
      <c r="N23" s="543"/>
      <c r="O23" s="1315"/>
      <c r="P23" s="1316">
        <f t="shared" si="0"/>
        <v>0</v>
      </c>
      <c r="Q23" s="1317"/>
      <c r="R23" s="827"/>
      <c r="S23" s="828"/>
      <c r="T23" s="1318"/>
      <c r="U23" s="829" t="str">
        <f>IF(OR(A23&lt;&gt;"",B23&lt;&gt;"",C23&lt;&gt;"",D23&lt;&gt;"",E23&lt;&gt;"",F23&lt;&gt;"",G23&lt;&gt;"",I23&lt;&gt;"",L23&lt;&gt;""),'Admin Sheet'!$B$44,"")</f>
        <v/>
      </c>
      <c r="V23" s="818"/>
      <c r="W23" s="444"/>
    </row>
    <row r="24" spans="1:23" ht="26.25" hidden="1" customHeight="1" x14ac:dyDescent="0.2">
      <c r="A24" s="1309"/>
      <c r="B24" s="1310"/>
      <c r="C24" s="1310"/>
      <c r="D24" s="1310"/>
      <c r="E24" s="1310"/>
      <c r="F24" s="1310"/>
      <c r="G24" s="1310"/>
      <c r="H24" s="1311">
        <f t="shared" si="1"/>
        <v>0</v>
      </c>
      <c r="I24" s="1310"/>
      <c r="J24" s="1311">
        <f t="shared" si="2"/>
        <v>0</v>
      </c>
      <c r="K24" s="1312"/>
      <c r="L24" s="1313"/>
      <c r="M24" s="1314">
        <f t="shared" si="3"/>
        <v>0</v>
      </c>
      <c r="N24" s="543"/>
      <c r="O24" s="1315"/>
      <c r="P24" s="1316">
        <f t="shared" si="0"/>
        <v>0</v>
      </c>
      <c r="Q24" s="1317"/>
      <c r="R24" s="827"/>
      <c r="S24" s="828"/>
      <c r="T24" s="1318"/>
      <c r="U24" s="829" t="str">
        <f>IF(OR(A24&lt;&gt;"",B24&lt;&gt;"",C24&lt;&gt;"",D24&lt;&gt;"",E24&lt;&gt;"",F24&lt;&gt;"",G24&lt;&gt;"",I24&lt;&gt;"",L24&lt;&gt;""),'Admin Sheet'!$B$44,"")</f>
        <v/>
      </c>
      <c r="V24" s="818"/>
      <c r="W24" s="444"/>
    </row>
    <row r="25" spans="1:23" ht="26.25" hidden="1" customHeight="1" x14ac:dyDescent="0.2">
      <c r="A25" s="1309"/>
      <c r="B25" s="1310"/>
      <c r="C25" s="1310"/>
      <c r="D25" s="1310"/>
      <c r="E25" s="1310"/>
      <c r="F25" s="1310"/>
      <c r="G25" s="1310"/>
      <c r="H25" s="1311">
        <f t="shared" si="1"/>
        <v>0</v>
      </c>
      <c r="I25" s="1310"/>
      <c r="J25" s="1311">
        <f t="shared" si="2"/>
        <v>0</v>
      </c>
      <c r="K25" s="1312"/>
      <c r="L25" s="1313"/>
      <c r="M25" s="1314">
        <f t="shared" si="3"/>
        <v>0</v>
      </c>
      <c r="N25" s="543"/>
      <c r="O25" s="1315"/>
      <c r="P25" s="1316">
        <f t="shared" si="0"/>
        <v>0</v>
      </c>
      <c r="Q25" s="1317"/>
      <c r="R25" s="827"/>
      <c r="S25" s="828"/>
      <c r="T25" s="1318"/>
      <c r="U25" s="829" t="str">
        <f>IF(OR(A25&lt;&gt;"",B25&lt;&gt;"",C25&lt;&gt;"",D25&lt;&gt;"",E25&lt;&gt;"",F25&lt;&gt;"",G25&lt;&gt;"",I25&lt;&gt;"",L25&lt;&gt;""),'Admin Sheet'!$B$44,"")</f>
        <v/>
      </c>
      <c r="V25" s="818"/>
      <c r="W25" s="444"/>
    </row>
    <row r="26" spans="1:23" ht="26.25" hidden="1" customHeight="1" x14ac:dyDescent="0.2">
      <c r="A26" s="1309"/>
      <c r="B26" s="1310"/>
      <c r="C26" s="1310"/>
      <c r="D26" s="1310"/>
      <c r="E26" s="1310"/>
      <c r="F26" s="1310"/>
      <c r="G26" s="1310"/>
      <c r="H26" s="1311">
        <f t="shared" si="1"/>
        <v>0</v>
      </c>
      <c r="I26" s="1310"/>
      <c r="J26" s="1311">
        <f t="shared" si="2"/>
        <v>0</v>
      </c>
      <c r="K26" s="1312"/>
      <c r="L26" s="1313"/>
      <c r="M26" s="1314">
        <f t="shared" si="3"/>
        <v>0</v>
      </c>
      <c r="N26" s="543"/>
      <c r="O26" s="1315"/>
      <c r="P26" s="1316">
        <f t="shared" si="0"/>
        <v>0</v>
      </c>
      <c r="Q26" s="1317"/>
      <c r="R26" s="827"/>
      <c r="S26" s="828"/>
      <c r="T26" s="1318"/>
      <c r="U26" s="829" t="str">
        <f>IF(OR(A26&lt;&gt;"",B26&lt;&gt;"",C26&lt;&gt;"",D26&lt;&gt;"",E26&lt;&gt;"",F26&lt;&gt;"",G26&lt;&gt;"",I26&lt;&gt;"",L26&lt;&gt;""),'Admin Sheet'!$B$44,"")</f>
        <v/>
      </c>
      <c r="V26" s="818"/>
      <c r="W26" s="444"/>
    </row>
    <row r="27" spans="1:23" ht="26.25" hidden="1" customHeight="1" x14ac:dyDescent="0.2">
      <c r="A27" s="1309"/>
      <c r="B27" s="1310"/>
      <c r="C27" s="1310"/>
      <c r="D27" s="1310"/>
      <c r="E27" s="1310"/>
      <c r="F27" s="1310"/>
      <c r="G27" s="1310"/>
      <c r="H27" s="1311">
        <f t="shared" si="1"/>
        <v>0</v>
      </c>
      <c r="I27" s="1310"/>
      <c r="J27" s="1311">
        <f t="shared" si="2"/>
        <v>0</v>
      </c>
      <c r="K27" s="1312"/>
      <c r="L27" s="1313"/>
      <c r="M27" s="1314">
        <f t="shared" si="3"/>
        <v>0</v>
      </c>
      <c r="N27" s="543"/>
      <c r="O27" s="1315"/>
      <c r="P27" s="1316">
        <f t="shared" si="0"/>
        <v>0</v>
      </c>
      <c r="Q27" s="1317"/>
      <c r="R27" s="827"/>
      <c r="S27" s="828"/>
      <c r="T27" s="1318"/>
      <c r="U27" s="829" t="str">
        <f>IF(OR(A27&lt;&gt;"",B27&lt;&gt;"",C27&lt;&gt;"",D27&lt;&gt;"",E27&lt;&gt;"",F27&lt;&gt;"",G27&lt;&gt;"",I27&lt;&gt;"",L27&lt;&gt;""),'Admin Sheet'!$B$44,"")</f>
        <v/>
      </c>
      <c r="V27" s="818"/>
      <c r="W27" s="444"/>
    </row>
    <row r="28" spans="1:23" ht="26.25" hidden="1" customHeight="1" x14ac:dyDescent="0.2">
      <c r="A28" s="1309"/>
      <c r="B28" s="1310"/>
      <c r="C28" s="1310"/>
      <c r="D28" s="1310"/>
      <c r="E28" s="1310"/>
      <c r="F28" s="1310"/>
      <c r="G28" s="1310"/>
      <c r="H28" s="1311">
        <f t="shared" si="1"/>
        <v>0</v>
      </c>
      <c r="I28" s="1310"/>
      <c r="J28" s="1311">
        <f t="shared" si="2"/>
        <v>0</v>
      </c>
      <c r="K28" s="1312"/>
      <c r="L28" s="1313"/>
      <c r="M28" s="1314">
        <f t="shared" si="3"/>
        <v>0</v>
      </c>
      <c r="N28" s="543"/>
      <c r="O28" s="1315"/>
      <c r="P28" s="1316">
        <f t="shared" si="0"/>
        <v>0</v>
      </c>
      <c r="Q28" s="1317"/>
      <c r="R28" s="827"/>
      <c r="S28" s="828"/>
      <c r="T28" s="1318"/>
      <c r="U28" s="829" t="str">
        <f>IF(OR(A28&lt;&gt;"",B28&lt;&gt;"",C28&lt;&gt;"",D28&lt;&gt;"",E28&lt;&gt;"",F28&lt;&gt;"",G28&lt;&gt;"",I28&lt;&gt;"",L28&lt;&gt;""),'Admin Sheet'!$B$44,"")</f>
        <v/>
      </c>
      <c r="V28" s="818"/>
      <c r="W28" s="444"/>
    </row>
    <row r="29" spans="1:23" ht="26.25" hidden="1" customHeight="1" x14ac:dyDescent="0.2">
      <c r="A29" s="1309"/>
      <c r="B29" s="1310"/>
      <c r="C29" s="1310"/>
      <c r="D29" s="1310"/>
      <c r="E29" s="1310"/>
      <c r="F29" s="1310"/>
      <c r="G29" s="1310"/>
      <c r="H29" s="1311">
        <f t="shared" si="1"/>
        <v>0</v>
      </c>
      <c r="I29" s="1310"/>
      <c r="J29" s="1311">
        <f t="shared" si="2"/>
        <v>0</v>
      </c>
      <c r="K29" s="1312"/>
      <c r="L29" s="1313"/>
      <c r="M29" s="1314">
        <f t="shared" si="3"/>
        <v>0</v>
      </c>
      <c r="N29" s="543"/>
      <c r="O29" s="1315"/>
      <c r="P29" s="1316">
        <f t="shared" si="0"/>
        <v>0</v>
      </c>
      <c r="Q29" s="1317"/>
      <c r="R29" s="827"/>
      <c r="S29" s="828"/>
      <c r="T29" s="1318"/>
      <c r="U29" s="829" t="str">
        <f>IF(OR(A29&lt;&gt;"",B29&lt;&gt;"",C29&lt;&gt;"",D29&lt;&gt;"",E29&lt;&gt;"",F29&lt;&gt;"",G29&lt;&gt;"",I29&lt;&gt;"",L29&lt;&gt;""),'Admin Sheet'!$B$44,"")</f>
        <v/>
      </c>
      <c r="V29" s="818"/>
      <c r="W29" s="444"/>
    </row>
    <row r="30" spans="1:23" ht="26.25" hidden="1" customHeight="1" x14ac:dyDescent="0.2">
      <c r="A30" s="1309"/>
      <c r="B30" s="1310"/>
      <c r="C30" s="1310"/>
      <c r="D30" s="1310"/>
      <c r="E30" s="1310"/>
      <c r="F30" s="1310"/>
      <c r="G30" s="1310"/>
      <c r="H30" s="1311">
        <f t="shared" si="1"/>
        <v>0</v>
      </c>
      <c r="I30" s="1310"/>
      <c r="J30" s="1311">
        <f t="shared" si="2"/>
        <v>0</v>
      </c>
      <c r="K30" s="1312"/>
      <c r="L30" s="1313"/>
      <c r="M30" s="1314">
        <f t="shared" si="3"/>
        <v>0</v>
      </c>
      <c r="N30" s="543"/>
      <c r="O30" s="1315"/>
      <c r="P30" s="1316">
        <f t="shared" si="0"/>
        <v>0</v>
      </c>
      <c r="Q30" s="1317"/>
      <c r="R30" s="827"/>
      <c r="S30" s="828"/>
      <c r="T30" s="1318"/>
      <c r="U30" s="829" t="str">
        <f>IF(OR(A30&lt;&gt;"",B30&lt;&gt;"",C30&lt;&gt;"",D30&lt;&gt;"",E30&lt;&gt;"",F30&lt;&gt;"",G30&lt;&gt;"",I30&lt;&gt;"",L30&lt;&gt;""),'Admin Sheet'!$B$44,"")</f>
        <v/>
      </c>
      <c r="V30" s="818"/>
      <c r="W30" s="444"/>
    </row>
    <row r="31" spans="1:23" ht="26.25" hidden="1" customHeight="1" x14ac:dyDescent="0.2">
      <c r="A31" s="1309"/>
      <c r="B31" s="1310"/>
      <c r="C31" s="1310"/>
      <c r="D31" s="1310"/>
      <c r="E31" s="1310"/>
      <c r="F31" s="1310"/>
      <c r="G31" s="1310"/>
      <c r="H31" s="1311">
        <f t="shared" si="1"/>
        <v>0</v>
      </c>
      <c r="I31" s="1310"/>
      <c r="J31" s="1311">
        <f t="shared" si="2"/>
        <v>0</v>
      </c>
      <c r="K31" s="1312"/>
      <c r="L31" s="1313"/>
      <c r="M31" s="1314">
        <f t="shared" si="3"/>
        <v>0</v>
      </c>
      <c r="N31" s="543"/>
      <c r="O31" s="1315"/>
      <c r="P31" s="1316">
        <f t="shared" si="0"/>
        <v>0</v>
      </c>
      <c r="Q31" s="1317"/>
      <c r="R31" s="827"/>
      <c r="S31" s="828"/>
      <c r="T31" s="1318"/>
      <c r="U31" s="829" t="str">
        <f>IF(OR(A31&lt;&gt;"",B31&lt;&gt;"",C31&lt;&gt;"",D31&lt;&gt;"",E31&lt;&gt;"",F31&lt;&gt;"",G31&lt;&gt;"",I31&lt;&gt;"",L31&lt;&gt;""),'Admin Sheet'!$B$44,"")</f>
        <v/>
      </c>
      <c r="V31" s="818"/>
      <c r="W31" s="444"/>
    </row>
    <row r="32" spans="1:23" ht="26.25" hidden="1" customHeight="1" x14ac:dyDescent="0.2">
      <c r="A32" s="1309"/>
      <c r="B32" s="1310"/>
      <c r="C32" s="1310"/>
      <c r="D32" s="1310"/>
      <c r="E32" s="1310"/>
      <c r="F32" s="1310"/>
      <c r="G32" s="1310"/>
      <c r="H32" s="1311">
        <f t="shared" si="1"/>
        <v>0</v>
      </c>
      <c r="I32" s="1310"/>
      <c r="J32" s="1311">
        <f t="shared" si="2"/>
        <v>0</v>
      </c>
      <c r="K32" s="1312"/>
      <c r="L32" s="1313"/>
      <c r="M32" s="1314">
        <f t="shared" si="3"/>
        <v>0</v>
      </c>
      <c r="N32" s="543"/>
      <c r="O32" s="1315"/>
      <c r="P32" s="1316">
        <f t="shared" si="0"/>
        <v>0</v>
      </c>
      <c r="Q32" s="1317"/>
      <c r="R32" s="827"/>
      <c r="S32" s="828"/>
      <c r="T32" s="1318"/>
      <c r="U32" s="829" t="str">
        <f>IF(OR(A32&lt;&gt;"",B32&lt;&gt;"",C32&lt;&gt;"",D32&lt;&gt;"",E32&lt;&gt;"",F32&lt;&gt;"",G32&lt;&gt;"",I32&lt;&gt;"",L32&lt;&gt;""),'Admin Sheet'!$B$44,"")</f>
        <v/>
      </c>
      <c r="V32" s="818"/>
      <c r="W32" s="444"/>
    </row>
    <row r="33" spans="1:23" ht="26.25" hidden="1" customHeight="1" x14ac:dyDescent="0.2">
      <c r="A33" s="1309"/>
      <c r="B33" s="1310"/>
      <c r="C33" s="1310"/>
      <c r="D33" s="1310"/>
      <c r="E33" s="1310"/>
      <c r="F33" s="1310"/>
      <c r="G33" s="1310"/>
      <c r="H33" s="1311">
        <f t="shared" si="1"/>
        <v>0</v>
      </c>
      <c r="I33" s="1310"/>
      <c r="J33" s="1311">
        <f t="shared" si="2"/>
        <v>0</v>
      </c>
      <c r="K33" s="1312"/>
      <c r="L33" s="1313"/>
      <c r="M33" s="1314">
        <f t="shared" si="3"/>
        <v>0</v>
      </c>
      <c r="N33" s="543"/>
      <c r="O33" s="1315"/>
      <c r="P33" s="1316">
        <f t="shared" si="0"/>
        <v>0</v>
      </c>
      <c r="Q33" s="1317"/>
      <c r="R33" s="827"/>
      <c r="S33" s="828"/>
      <c r="T33" s="1318"/>
      <c r="U33" s="829" t="str">
        <f>IF(OR(A33&lt;&gt;"",B33&lt;&gt;"",C33&lt;&gt;"",D33&lt;&gt;"",E33&lt;&gt;"",F33&lt;&gt;"",G33&lt;&gt;"",I33&lt;&gt;"",L33&lt;&gt;""),'Admin Sheet'!$B$44,"")</f>
        <v/>
      </c>
      <c r="V33" s="818"/>
      <c r="W33" s="444"/>
    </row>
    <row r="34" spans="1:23" ht="26.25" hidden="1" customHeight="1" x14ac:dyDescent="0.2">
      <c r="A34" s="1309"/>
      <c r="B34" s="1310"/>
      <c r="C34" s="1310"/>
      <c r="D34" s="1310"/>
      <c r="E34" s="1310"/>
      <c r="F34" s="1310"/>
      <c r="G34" s="1310"/>
      <c r="H34" s="1311">
        <f t="shared" si="1"/>
        <v>0</v>
      </c>
      <c r="I34" s="1310"/>
      <c r="J34" s="1311">
        <f t="shared" si="2"/>
        <v>0</v>
      </c>
      <c r="K34" s="1312"/>
      <c r="L34" s="1313"/>
      <c r="M34" s="1314">
        <f t="shared" si="3"/>
        <v>0</v>
      </c>
      <c r="N34" s="543"/>
      <c r="O34" s="1315"/>
      <c r="P34" s="1316">
        <f t="shared" si="0"/>
        <v>0</v>
      </c>
      <c r="Q34" s="1317"/>
      <c r="R34" s="827"/>
      <c r="S34" s="828"/>
      <c r="T34" s="1318"/>
      <c r="U34" s="829" t="str">
        <f>IF(OR(A34&lt;&gt;"",B34&lt;&gt;"",C34&lt;&gt;"",D34&lt;&gt;"",E34&lt;&gt;"",F34&lt;&gt;"",G34&lt;&gt;"",I34&lt;&gt;"",L34&lt;&gt;""),'Admin Sheet'!$B$44,"")</f>
        <v/>
      </c>
      <c r="V34" s="818"/>
      <c r="W34" s="444"/>
    </row>
    <row r="35" spans="1:23" ht="26.25" hidden="1" customHeight="1" x14ac:dyDescent="0.2">
      <c r="A35" s="1309"/>
      <c r="B35" s="1310"/>
      <c r="C35" s="1310"/>
      <c r="D35" s="1310"/>
      <c r="E35" s="1310"/>
      <c r="F35" s="1310"/>
      <c r="G35" s="1310"/>
      <c r="H35" s="1311">
        <f t="shared" si="1"/>
        <v>0</v>
      </c>
      <c r="I35" s="1310"/>
      <c r="J35" s="1311">
        <f t="shared" si="2"/>
        <v>0</v>
      </c>
      <c r="K35" s="1312"/>
      <c r="L35" s="1313"/>
      <c r="M35" s="1314">
        <f t="shared" si="3"/>
        <v>0</v>
      </c>
      <c r="N35" s="543"/>
      <c r="O35" s="1315"/>
      <c r="P35" s="1316">
        <f t="shared" si="0"/>
        <v>0</v>
      </c>
      <c r="Q35" s="1317"/>
      <c r="R35" s="827"/>
      <c r="S35" s="828"/>
      <c r="T35" s="1318"/>
      <c r="U35" s="829" t="str">
        <f>IF(OR(A35&lt;&gt;"",B35&lt;&gt;"",C35&lt;&gt;"",D35&lt;&gt;"",E35&lt;&gt;"",F35&lt;&gt;"",G35&lt;&gt;"",I35&lt;&gt;"",L35&lt;&gt;""),'Admin Sheet'!$B$44,"")</f>
        <v/>
      </c>
      <c r="V35" s="818"/>
      <c r="W35" s="444"/>
    </row>
    <row r="36" spans="1:23" ht="26.25" hidden="1" customHeight="1" x14ac:dyDescent="0.2">
      <c r="A36" s="1309"/>
      <c r="B36" s="1310"/>
      <c r="C36" s="1310"/>
      <c r="D36" s="1310"/>
      <c r="E36" s="1310"/>
      <c r="F36" s="1310"/>
      <c r="G36" s="1310"/>
      <c r="H36" s="1311">
        <f t="shared" si="1"/>
        <v>0</v>
      </c>
      <c r="I36" s="1310"/>
      <c r="J36" s="1311">
        <f t="shared" si="2"/>
        <v>0</v>
      </c>
      <c r="K36" s="1312"/>
      <c r="L36" s="1313"/>
      <c r="M36" s="1314">
        <f t="shared" si="3"/>
        <v>0</v>
      </c>
      <c r="N36" s="543"/>
      <c r="O36" s="1315"/>
      <c r="P36" s="1316">
        <f t="shared" si="0"/>
        <v>0</v>
      </c>
      <c r="Q36" s="1317"/>
      <c r="R36" s="827"/>
      <c r="S36" s="828"/>
      <c r="T36" s="1318"/>
      <c r="U36" s="829" t="str">
        <f>IF(OR(A36&lt;&gt;"",B36&lt;&gt;"",C36&lt;&gt;"",D36&lt;&gt;"",E36&lt;&gt;"",F36&lt;&gt;"",G36&lt;&gt;"",I36&lt;&gt;"",L36&lt;&gt;""),'Admin Sheet'!$B$44,"")</f>
        <v/>
      </c>
      <c r="V36" s="818"/>
      <c r="W36" s="444"/>
    </row>
    <row r="37" spans="1:23" ht="26.25" hidden="1" customHeight="1" x14ac:dyDescent="0.2">
      <c r="A37" s="1309"/>
      <c r="B37" s="1310"/>
      <c r="C37" s="1310"/>
      <c r="D37" s="1310"/>
      <c r="E37" s="1310"/>
      <c r="F37" s="1310"/>
      <c r="G37" s="1310"/>
      <c r="H37" s="1311">
        <f t="shared" si="1"/>
        <v>0</v>
      </c>
      <c r="I37" s="1310"/>
      <c r="J37" s="1311">
        <f t="shared" si="2"/>
        <v>0</v>
      </c>
      <c r="K37" s="1312"/>
      <c r="L37" s="1313"/>
      <c r="M37" s="1314">
        <f t="shared" si="3"/>
        <v>0</v>
      </c>
      <c r="N37" s="543"/>
      <c r="O37" s="1315"/>
      <c r="P37" s="1316">
        <f t="shared" si="0"/>
        <v>0</v>
      </c>
      <c r="Q37" s="1317"/>
      <c r="R37" s="827"/>
      <c r="S37" s="828"/>
      <c r="T37" s="1318"/>
      <c r="U37" s="829" t="str">
        <f>IF(OR(A37&lt;&gt;"",B37&lt;&gt;"",C37&lt;&gt;"",D37&lt;&gt;"",E37&lt;&gt;"",F37&lt;&gt;"",G37&lt;&gt;"",I37&lt;&gt;"",L37&lt;&gt;""),'Admin Sheet'!$B$44,"")</f>
        <v/>
      </c>
      <c r="V37" s="818"/>
      <c r="W37" s="444"/>
    </row>
    <row r="38" spans="1:23" ht="26.25" hidden="1" customHeight="1" x14ac:dyDescent="0.2">
      <c r="A38" s="1309"/>
      <c r="B38" s="1310"/>
      <c r="C38" s="1310"/>
      <c r="D38" s="1310"/>
      <c r="E38" s="1310"/>
      <c r="F38" s="1310"/>
      <c r="G38" s="1310"/>
      <c r="H38" s="1311">
        <f t="shared" si="1"/>
        <v>0</v>
      </c>
      <c r="I38" s="1310"/>
      <c r="J38" s="1311">
        <f t="shared" si="2"/>
        <v>0</v>
      </c>
      <c r="K38" s="1312"/>
      <c r="L38" s="1313"/>
      <c r="M38" s="1314">
        <f t="shared" si="3"/>
        <v>0</v>
      </c>
      <c r="N38" s="543"/>
      <c r="O38" s="1315"/>
      <c r="P38" s="1316">
        <f t="shared" si="0"/>
        <v>0</v>
      </c>
      <c r="Q38" s="1317"/>
      <c r="R38" s="827"/>
      <c r="S38" s="828"/>
      <c r="T38" s="1318"/>
      <c r="U38" s="829" t="str">
        <f>IF(OR(A38&lt;&gt;"",B38&lt;&gt;"",C38&lt;&gt;"",D38&lt;&gt;"",E38&lt;&gt;"",F38&lt;&gt;"",G38&lt;&gt;"",I38&lt;&gt;"",L38&lt;&gt;""),'Admin Sheet'!$B$44,"")</f>
        <v/>
      </c>
      <c r="V38" s="818"/>
      <c r="W38" s="444"/>
    </row>
    <row r="39" spans="1:23" ht="26.25" hidden="1" customHeight="1" x14ac:dyDescent="0.2">
      <c r="A39" s="1309"/>
      <c r="B39" s="1310"/>
      <c r="C39" s="1310"/>
      <c r="D39" s="1310"/>
      <c r="E39" s="1310"/>
      <c r="F39" s="1310"/>
      <c r="G39" s="1310"/>
      <c r="H39" s="1311">
        <f t="shared" si="1"/>
        <v>0</v>
      </c>
      <c r="I39" s="1310"/>
      <c r="J39" s="1311">
        <f t="shared" si="2"/>
        <v>0</v>
      </c>
      <c r="K39" s="1312"/>
      <c r="L39" s="1313"/>
      <c r="M39" s="1314">
        <f t="shared" si="3"/>
        <v>0</v>
      </c>
      <c r="N39" s="543"/>
      <c r="O39" s="1315"/>
      <c r="P39" s="1316">
        <f t="shared" si="0"/>
        <v>0</v>
      </c>
      <c r="Q39" s="1317"/>
      <c r="R39" s="827"/>
      <c r="S39" s="828"/>
      <c r="T39" s="1318"/>
      <c r="U39" s="829" t="str">
        <f>IF(OR(A39&lt;&gt;"",B39&lt;&gt;"",C39&lt;&gt;"",D39&lt;&gt;"",E39&lt;&gt;"",F39&lt;&gt;"",G39&lt;&gt;"",I39&lt;&gt;"",L39&lt;&gt;""),'Admin Sheet'!$B$44,"")</f>
        <v/>
      </c>
      <c r="V39" s="818"/>
      <c r="W39" s="444"/>
    </row>
    <row r="40" spans="1:23" ht="26.25" hidden="1" customHeight="1" x14ac:dyDescent="0.2">
      <c r="A40" s="1309"/>
      <c r="B40" s="1310"/>
      <c r="C40" s="1310"/>
      <c r="D40" s="1310"/>
      <c r="E40" s="1310"/>
      <c r="F40" s="1310"/>
      <c r="G40" s="1310"/>
      <c r="H40" s="1311">
        <f t="shared" si="1"/>
        <v>0</v>
      </c>
      <c r="I40" s="1310"/>
      <c r="J40" s="1311">
        <f t="shared" si="2"/>
        <v>0</v>
      </c>
      <c r="K40" s="1312"/>
      <c r="L40" s="1313"/>
      <c r="M40" s="1314">
        <f t="shared" si="3"/>
        <v>0</v>
      </c>
      <c r="N40" s="543"/>
      <c r="O40" s="1315"/>
      <c r="P40" s="1316">
        <f t="shared" si="0"/>
        <v>0</v>
      </c>
      <c r="Q40" s="1317"/>
      <c r="R40" s="827"/>
      <c r="S40" s="828"/>
      <c r="T40" s="1318"/>
      <c r="U40" s="829" t="str">
        <f>IF(OR(A40&lt;&gt;"",B40&lt;&gt;"",C40&lt;&gt;"",D40&lt;&gt;"",E40&lt;&gt;"",F40&lt;&gt;"",G40&lt;&gt;"",I40&lt;&gt;"",L40&lt;&gt;""),'Admin Sheet'!$B$44,"")</f>
        <v/>
      </c>
      <c r="V40" s="818"/>
      <c r="W40" s="444"/>
    </row>
    <row r="41" spans="1:23" ht="26.25" hidden="1" customHeight="1" x14ac:dyDescent="0.2">
      <c r="A41" s="1309"/>
      <c r="B41" s="1310"/>
      <c r="C41" s="1310"/>
      <c r="D41" s="1310"/>
      <c r="E41" s="1310"/>
      <c r="F41" s="1310"/>
      <c r="G41" s="1310"/>
      <c r="H41" s="1311">
        <f t="shared" si="1"/>
        <v>0</v>
      </c>
      <c r="I41" s="1310"/>
      <c r="J41" s="1311">
        <f t="shared" si="2"/>
        <v>0</v>
      </c>
      <c r="K41" s="1312"/>
      <c r="L41" s="1313"/>
      <c r="M41" s="1314">
        <f t="shared" si="3"/>
        <v>0</v>
      </c>
      <c r="N41" s="543"/>
      <c r="O41" s="1315"/>
      <c r="P41" s="1316">
        <f t="shared" si="0"/>
        <v>0</v>
      </c>
      <c r="Q41" s="1317"/>
      <c r="R41" s="827"/>
      <c r="S41" s="828"/>
      <c r="T41" s="1318"/>
      <c r="U41" s="829" t="str">
        <f>IF(OR(A41&lt;&gt;"",B41&lt;&gt;"",C41&lt;&gt;"",D41&lt;&gt;"",E41&lt;&gt;"",F41&lt;&gt;"",G41&lt;&gt;"",I41&lt;&gt;"",L41&lt;&gt;""),'Admin Sheet'!$B$44,"")</f>
        <v/>
      </c>
      <c r="V41" s="818"/>
      <c r="W41" s="444"/>
    </row>
    <row r="42" spans="1:23" ht="26.25" hidden="1" customHeight="1" x14ac:dyDescent="0.2">
      <c r="A42" s="1309"/>
      <c r="B42" s="1310"/>
      <c r="C42" s="1310"/>
      <c r="D42" s="1310"/>
      <c r="E42" s="1310"/>
      <c r="F42" s="1310"/>
      <c r="G42" s="1310"/>
      <c r="H42" s="1311">
        <f t="shared" si="1"/>
        <v>0</v>
      </c>
      <c r="I42" s="1310"/>
      <c r="J42" s="1311">
        <f t="shared" si="2"/>
        <v>0</v>
      </c>
      <c r="K42" s="1312"/>
      <c r="L42" s="1313"/>
      <c r="M42" s="1314">
        <f t="shared" si="3"/>
        <v>0</v>
      </c>
      <c r="N42" s="543"/>
      <c r="O42" s="1315"/>
      <c r="P42" s="1316">
        <f t="shared" si="0"/>
        <v>0</v>
      </c>
      <c r="Q42" s="1317"/>
      <c r="R42" s="827"/>
      <c r="S42" s="828"/>
      <c r="T42" s="1318"/>
      <c r="U42" s="829" t="str">
        <f>IF(OR(A42&lt;&gt;"",B42&lt;&gt;"",C42&lt;&gt;"",D42&lt;&gt;"",E42&lt;&gt;"",F42&lt;&gt;"",G42&lt;&gt;"",I42&lt;&gt;"",L42&lt;&gt;""),'Admin Sheet'!$B$44,"")</f>
        <v/>
      </c>
      <c r="V42" s="818"/>
      <c r="W42" s="444"/>
    </row>
    <row r="43" spans="1:23" ht="26.25" hidden="1" customHeight="1" x14ac:dyDescent="0.2">
      <c r="A43" s="1309"/>
      <c r="B43" s="1310"/>
      <c r="C43" s="1310"/>
      <c r="D43" s="1310"/>
      <c r="E43" s="1310"/>
      <c r="F43" s="1310"/>
      <c r="G43" s="1310"/>
      <c r="H43" s="1311">
        <f t="shared" si="1"/>
        <v>0</v>
      </c>
      <c r="I43" s="1310"/>
      <c r="J43" s="1311">
        <f t="shared" si="2"/>
        <v>0</v>
      </c>
      <c r="K43" s="1312"/>
      <c r="L43" s="1313"/>
      <c r="M43" s="1314">
        <f t="shared" si="3"/>
        <v>0</v>
      </c>
      <c r="N43" s="543"/>
      <c r="O43" s="1315"/>
      <c r="P43" s="1316">
        <f t="shared" si="0"/>
        <v>0</v>
      </c>
      <c r="Q43" s="1317"/>
      <c r="R43" s="827"/>
      <c r="S43" s="828"/>
      <c r="T43" s="1318"/>
      <c r="U43" s="829" t="str">
        <f>IF(OR(A43&lt;&gt;"",B43&lt;&gt;"",C43&lt;&gt;"",D43&lt;&gt;"",E43&lt;&gt;"",F43&lt;&gt;"",G43&lt;&gt;"",I43&lt;&gt;"",L43&lt;&gt;""),'Admin Sheet'!$B$44,"")</f>
        <v/>
      </c>
      <c r="V43" s="818"/>
      <c r="W43" s="444"/>
    </row>
    <row r="44" spans="1:23" ht="26.25" hidden="1" customHeight="1" x14ac:dyDescent="0.2">
      <c r="A44" s="1309"/>
      <c r="B44" s="1310"/>
      <c r="C44" s="1310"/>
      <c r="D44" s="1310"/>
      <c r="E44" s="1310"/>
      <c r="F44" s="1310"/>
      <c r="G44" s="1310"/>
      <c r="H44" s="1311">
        <f t="shared" si="1"/>
        <v>0</v>
      </c>
      <c r="I44" s="1310"/>
      <c r="J44" s="1311">
        <f t="shared" si="2"/>
        <v>0</v>
      </c>
      <c r="K44" s="1312"/>
      <c r="L44" s="1313"/>
      <c r="M44" s="1314">
        <f t="shared" si="3"/>
        <v>0</v>
      </c>
      <c r="N44" s="543"/>
      <c r="O44" s="1315"/>
      <c r="P44" s="1316">
        <f t="shared" si="0"/>
        <v>0</v>
      </c>
      <c r="Q44" s="1317"/>
      <c r="R44" s="827"/>
      <c r="S44" s="828"/>
      <c r="T44" s="1318"/>
      <c r="U44" s="829" t="str">
        <f>IF(OR(A44&lt;&gt;"",B44&lt;&gt;"",C44&lt;&gt;"",D44&lt;&gt;"",E44&lt;&gt;"",F44&lt;&gt;"",G44&lt;&gt;"",I44&lt;&gt;"",L44&lt;&gt;""),'Admin Sheet'!$B$44,"")</f>
        <v/>
      </c>
      <c r="V44" s="818"/>
      <c r="W44" s="444"/>
    </row>
    <row r="45" spans="1:23" ht="26.25" hidden="1" customHeight="1" x14ac:dyDescent="0.2">
      <c r="A45" s="1309"/>
      <c r="B45" s="1310"/>
      <c r="C45" s="1310"/>
      <c r="D45" s="1310"/>
      <c r="E45" s="1310"/>
      <c r="F45" s="1310"/>
      <c r="G45" s="1310"/>
      <c r="H45" s="1311">
        <f t="shared" si="1"/>
        <v>0</v>
      </c>
      <c r="I45" s="1310"/>
      <c r="J45" s="1311">
        <f t="shared" si="2"/>
        <v>0</v>
      </c>
      <c r="K45" s="1312"/>
      <c r="L45" s="1313"/>
      <c r="M45" s="1314">
        <f t="shared" si="3"/>
        <v>0</v>
      </c>
      <c r="N45" s="543"/>
      <c r="O45" s="1315"/>
      <c r="P45" s="1316">
        <f t="shared" si="0"/>
        <v>0</v>
      </c>
      <c r="Q45" s="1317"/>
      <c r="R45" s="827"/>
      <c r="S45" s="828"/>
      <c r="T45" s="1318"/>
      <c r="U45" s="829" t="str">
        <f>IF(OR(A45&lt;&gt;"",B45&lt;&gt;"",C45&lt;&gt;"",D45&lt;&gt;"",E45&lt;&gt;"",F45&lt;&gt;"",G45&lt;&gt;"",I45&lt;&gt;"",L45&lt;&gt;""),'Admin Sheet'!$B$44,"")</f>
        <v/>
      </c>
      <c r="V45" s="818"/>
      <c r="W45" s="444"/>
    </row>
    <row r="46" spans="1:23" ht="26.25" hidden="1" customHeight="1" x14ac:dyDescent="0.2">
      <c r="A46" s="1309"/>
      <c r="B46" s="1310"/>
      <c r="C46" s="1310"/>
      <c r="D46" s="1310"/>
      <c r="E46" s="1310"/>
      <c r="F46" s="1310"/>
      <c r="G46" s="1310"/>
      <c r="H46" s="1311">
        <f t="shared" si="1"/>
        <v>0</v>
      </c>
      <c r="I46" s="1310"/>
      <c r="J46" s="1311">
        <f t="shared" si="2"/>
        <v>0</v>
      </c>
      <c r="K46" s="1312"/>
      <c r="L46" s="1313"/>
      <c r="M46" s="1314">
        <f t="shared" si="3"/>
        <v>0</v>
      </c>
      <c r="N46" s="543"/>
      <c r="O46" s="1315"/>
      <c r="P46" s="1316">
        <f t="shared" si="0"/>
        <v>0</v>
      </c>
      <c r="Q46" s="1317"/>
      <c r="R46" s="827"/>
      <c r="S46" s="828"/>
      <c r="T46" s="1318"/>
      <c r="U46" s="829" t="str">
        <f>IF(OR(A46&lt;&gt;"",B46&lt;&gt;"",C46&lt;&gt;"",D46&lt;&gt;"",E46&lt;&gt;"",F46&lt;&gt;"",G46&lt;&gt;"",I46&lt;&gt;"",L46&lt;&gt;""),'Admin Sheet'!$B$44,"")</f>
        <v/>
      </c>
      <c r="V46" s="818"/>
      <c r="W46" s="444"/>
    </row>
    <row r="47" spans="1:23" ht="26.25" hidden="1" customHeight="1" x14ac:dyDescent="0.2">
      <c r="A47" s="1309"/>
      <c r="B47" s="1310"/>
      <c r="C47" s="1310"/>
      <c r="D47" s="1310"/>
      <c r="E47" s="1310"/>
      <c r="F47" s="1310"/>
      <c r="G47" s="1310"/>
      <c r="H47" s="1311">
        <f t="shared" si="1"/>
        <v>0</v>
      </c>
      <c r="I47" s="1310"/>
      <c r="J47" s="1311">
        <f t="shared" si="2"/>
        <v>0</v>
      </c>
      <c r="K47" s="1312"/>
      <c r="L47" s="1313"/>
      <c r="M47" s="1314">
        <f t="shared" si="3"/>
        <v>0</v>
      </c>
      <c r="N47" s="543"/>
      <c r="O47" s="1315"/>
      <c r="P47" s="1316">
        <f t="shared" si="0"/>
        <v>0</v>
      </c>
      <c r="Q47" s="1317"/>
      <c r="R47" s="827"/>
      <c r="S47" s="828"/>
      <c r="T47" s="1318"/>
      <c r="U47" s="829" t="str">
        <f>IF(OR(A47&lt;&gt;"",B47&lt;&gt;"",C47&lt;&gt;"",D47&lt;&gt;"",E47&lt;&gt;"",F47&lt;&gt;"",G47&lt;&gt;"",I47&lt;&gt;"",L47&lt;&gt;""),'Admin Sheet'!$B$44,"")</f>
        <v/>
      </c>
      <c r="V47" s="818"/>
      <c r="W47" s="444"/>
    </row>
    <row r="48" spans="1:23" ht="26.25" hidden="1" customHeight="1" x14ac:dyDescent="0.2">
      <c r="A48" s="1309"/>
      <c r="B48" s="1310"/>
      <c r="C48" s="1310"/>
      <c r="D48" s="1310"/>
      <c r="E48" s="1310"/>
      <c r="F48" s="1310"/>
      <c r="G48" s="1310"/>
      <c r="H48" s="1311">
        <f t="shared" si="1"/>
        <v>0</v>
      </c>
      <c r="I48" s="1310"/>
      <c r="J48" s="1311">
        <f t="shared" si="2"/>
        <v>0</v>
      </c>
      <c r="K48" s="1312"/>
      <c r="L48" s="1313"/>
      <c r="M48" s="1314">
        <f t="shared" si="3"/>
        <v>0</v>
      </c>
      <c r="N48" s="543"/>
      <c r="O48" s="1315"/>
      <c r="P48" s="1316">
        <f t="shared" si="0"/>
        <v>0</v>
      </c>
      <c r="Q48" s="1317"/>
      <c r="R48" s="827"/>
      <c r="S48" s="828"/>
      <c r="T48" s="1318"/>
      <c r="U48" s="829" t="str">
        <f>IF(OR(A48&lt;&gt;"",B48&lt;&gt;"",C48&lt;&gt;"",D48&lt;&gt;"",E48&lt;&gt;"",F48&lt;&gt;"",G48&lt;&gt;"",I48&lt;&gt;"",L48&lt;&gt;""),'Admin Sheet'!$B$44,"")</f>
        <v/>
      </c>
      <c r="V48" s="818"/>
      <c r="W48" s="444"/>
    </row>
    <row r="49" spans="1:23" ht="26.25" hidden="1" customHeight="1" x14ac:dyDescent="0.2">
      <c r="A49" s="1309"/>
      <c r="B49" s="1310"/>
      <c r="C49" s="1310"/>
      <c r="D49" s="1310"/>
      <c r="E49" s="1310"/>
      <c r="F49" s="1310"/>
      <c r="G49" s="1310"/>
      <c r="H49" s="1311">
        <f t="shared" si="1"/>
        <v>0</v>
      </c>
      <c r="I49" s="1310"/>
      <c r="J49" s="1311">
        <f t="shared" si="2"/>
        <v>0</v>
      </c>
      <c r="K49" s="1312"/>
      <c r="L49" s="1313"/>
      <c r="M49" s="1314">
        <f t="shared" si="3"/>
        <v>0</v>
      </c>
      <c r="N49" s="543"/>
      <c r="O49" s="1315"/>
      <c r="P49" s="1316">
        <f t="shared" si="0"/>
        <v>0</v>
      </c>
      <c r="Q49" s="1317"/>
      <c r="R49" s="827"/>
      <c r="S49" s="828"/>
      <c r="T49" s="1318"/>
      <c r="U49" s="829" t="str">
        <f>IF(OR(A49&lt;&gt;"",B49&lt;&gt;"",C49&lt;&gt;"",D49&lt;&gt;"",E49&lt;&gt;"",F49&lt;&gt;"",G49&lt;&gt;"",I49&lt;&gt;"",L49&lt;&gt;""),'Admin Sheet'!$B$44,"")</f>
        <v/>
      </c>
      <c r="V49" s="818"/>
      <c r="W49" s="444"/>
    </row>
    <row r="50" spans="1:23" ht="26.25" hidden="1" customHeight="1" x14ac:dyDescent="0.2">
      <c r="A50" s="1309"/>
      <c r="B50" s="1310"/>
      <c r="C50" s="1310"/>
      <c r="D50" s="1310"/>
      <c r="E50" s="1310"/>
      <c r="F50" s="1310"/>
      <c r="G50" s="1310"/>
      <c r="H50" s="1311">
        <f t="shared" si="1"/>
        <v>0</v>
      </c>
      <c r="I50" s="1310"/>
      <c r="J50" s="1311">
        <f t="shared" si="2"/>
        <v>0</v>
      </c>
      <c r="K50" s="1312"/>
      <c r="L50" s="1313"/>
      <c r="M50" s="1314">
        <f t="shared" si="3"/>
        <v>0</v>
      </c>
      <c r="N50" s="543"/>
      <c r="O50" s="1315"/>
      <c r="P50" s="1316">
        <f t="shared" si="0"/>
        <v>0</v>
      </c>
      <c r="Q50" s="1317"/>
      <c r="R50" s="827"/>
      <c r="S50" s="828"/>
      <c r="T50" s="1318"/>
      <c r="U50" s="829" t="str">
        <f>IF(OR(A50&lt;&gt;"",B50&lt;&gt;"",C50&lt;&gt;"",D50&lt;&gt;"",E50&lt;&gt;"",F50&lt;&gt;"",G50&lt;&gt;"",I50&lt;&gt;"",L50&lt;&gt;""),'Admin Sheet'!$B$44,"")</f>
        <v/>
      </c>
      <c r="V50" s="818"/>
      <c r="W50" s="444"/>
    </row>
    <row r="51" spans="1:23" ht="26.25" hidden="1" customHeight="1" x14ac:dyDescent="0.2">
      <c r="A51" s="1309"/>
      <c r="B51" s="1310"/>
      <c r="C51" s="1310"/>
      <c r="D51" s="1310"/>
      <c r="E51" s="1310"/>
      <c r="F51" s="1310"/>
      <c r="G51" s="1310"/>
      <c r="H51" s="1311">
        <f t="shared" si="1"/>
        <v>0</v>
      </c>
      <c r="I51" s="1310"/>
      <c r="J51" s="1311">
        <f t="shared" si="2"/>
        <v>0</v>
      </c>
      <c r="K51" s="1312"/>
      <c r="L51" s="1313"/>
      <c r="M51" s="1314">
        <f t="shared" si="3"/>
        <v>0</v>
      </c>
      <c r="N51" s="543"/>
      <c r="O51" s="1315"/>
      <c r="P51" s="1316">
        <f t="shared" si="0"/>
        <v>0</v>
      </c>
      <c r="Q51" s="1317"/>
      <c r="R51" s="827"/>
      <c r="S51" s="828"/>
      <c r="T51" s="1318"/>
      <c r="U51" s="829" t="str">
        <f>IF(OR(A51&lt;&gt;"",B51&lt;&gt;"",C51&lt;&gt;"",D51&lt;&gt;"",E51&lt;&gt;"",F51&lt;&gt;"",G51&lt;&gt;"",I51&lt;&gt;"",L51&lt;&gt;""),'Admin Sheet'!$B$44,"")</f>
        <v/>
      </c>
      <c r="V51" s="818"/>
      <c r="W51" s="444"/>
    </row>
    <row r="52" spans="1:23" ht="26.25" hidden="1" customHeight="1" x14ac:dyDescent="0.2">
      <c r="A52" s="1309"/>
      <c r="B52" s="1310"/>
      <c r="C52" s="1310"/>
      <c r="D52" s="1310"/>
      <c r="E52" s="1310"/>
      <c r="F52" s="1310"/>
      <c r="G52" s="1310"/>
      <c r="H52" s="1311">
        <f t="shared" si="1"/>
        <v>0</v>
      </c>
      <c r="I52" s="1310"/>
      <c r="J52" s="1311">
        <f t="shared" si="2"/>
        <v>0</v>
      </c>
      <c r="K52" s="1312"/>
      <c r="L52" s="1313"/>
      <c r="M52" s="1314">
        <f t="shared" si="3"/>
        <v>0</v>
      </c>
      <c r="N52" s="543"/>
      <c r="O52" s="1315"/>
      <c r="P52" s="1316">
        <f t="shared" si="0"/>
        <v>0</v>
      </c>
      <c r="Q52" s="1317"/>
      <c r="R52" s="827"/>
      <c r="S52" s="828"/>
      <c r="T52" s="1318"/>
      <c r="U52" s="829" t="str">
        <f>IF(OR(A52&lt;&gt;"",B52&lt;&gt;"",C52&lt;&gt;"",D52&lt;&gt;"",E52&lt;&gt;"",F52&lt;&gt;"",G52&lt;&gt;"",I52&lt;&gt;"",L52&lt;&gt;""),'Admin Sheet'!$B$44,"")</f>
        <v/>
      </c>
      <c r="V52" s="818"/>
      <c r="W52" s="444"/>
    </row>
    <row r="53" spans="1:23" ht="26.25" hidden="1" customHeight="1" x14ac:dyDescent="0.2">
      <c r="A53" s="1309"/>
      <c r="B53" s="1310"/>
      <c r="C53" s="1310"/>
      <c r="D53" s="1310"/>
      <c r="E53" s="1310"/>
      <c r="F53" s="1310"/>
      <c r="G53" s="1310"/>
      <c r="H53" s="1311">
        <f t="shared" si="1"/>
        <v>0</v>
      </c>
      <c r="I53" s="1310"/>
      <c r="J53" s="1311">
        <f t="shared" si="2"/>
        <v>0</v>
      </c>
      <c r="K53" s="1312"/>
      <c r="L53" s="1313"/>
      <c r="M53" s="1314">
        <f t="shared" si="3"/>
        <v>0</v>
      </c>
      <c r="N53" s="543"/>
      <c r="O53" s="1315"/>
      <c r="P53" s="1316">
        <f t="shared" si="0"/>
        <v>0</v>
      </c>
      <c r="Q53" s="1317"/>
      <c r="R53" s="827"/>
      <c r="S53" s="828"/>
      <c r="T53" s="1318"/>
      <c r="U53" s="829" t="str">
        <f>IF(OR(A53&lt;&gt;"",B53&lt;&gt;"",C53&lt;&gt;"",D53&lt;&gt;"",E53&lt;&gt;"",F53&lt;&gt;"",G53&lt;&gt;"",I53&lt;&gt;"",L53&lt;&gt;""),'Admin Sheet'!$B$44,"")</f>
        <v/>
      </c>
      <c r="V53" s="818"/>
      <c r="W53" s="444"/>
    </row>
    <row r="54" spans="1:23" ht="26.25" hidden="1" customHeight="1" x14ac:dyDescent="0.2">
      <c r="A54" s="1309"/>
      <c r="B54" s="1310"/>
      <c r="C54" s="1310"/>
      <c r="D54" s="1310"/>
      <c r="E54" s="1310"/>
      <c r="F54" s="1310"/>
      <c r="G54" s="1310"/>
      <c r="H54" s="1311">
        <f t="shared" si="1"/>
        <v>0</v>
      </c>
      <c r="I54" s="1310"/>
      <c r="J54" s="1311">
        <f t="shared" si="2"/>
        <v>0</v>
      </c>
      <c r="K54" s="1312"/>
      <c r="L54" s="1313"/>
      <c r="M54" s="1314">
        <f t="shared" si="3"/>
        <v>0</v>
      </c>
      <c r="N54" s="543"/>
      <c r="O54" s="1315"/>
      <c r="P54" s="1316">
        <f t="shared" si="0"/>
        <v>0</v>
      </c>
      <c r="Q54" s="1317"/>
      <c r="R54" s="827"/>
      <c r="S54" s="828"/>
      <c r="T54" s="1318"/>
      <c r="U54" s="829" t="str">
        <f>IF(OR(A54&lt;&gt;"",B54&lt;&gt;"",C54&lt;&gt;"",D54&lt;&gt;"",E54&lt;&gt;"",F54&lt;&gt;"",G54&lt;&gt;"",I54&lt;&gt;"",L54&lt;&gt;""),'Admin Sheet'!$B$44,"")</f>
        <v/>
      </c>
      <c r="V54" s="818"/>
      <c r="W54" s="444"/>
    </row>
    <row r="55" spans="1:23" ht="26.25" hidden="1" customHeight="1" x14ac:dyDescent="0.2">
      <c r="A55" s="1309"/>
      <c r="B55" s="1310"/>
      <c r="C55" s="1310"/>
      <c r="D55" s="1310"/>
      <c r="E55" s="1310"/>
      <c r="F55" s="1310"/>
      <c r="G55" s="1310"/>
      <c r="H55" s="1311">
        <f t="shared" si="1"/>
        <v>0</v>
      </c>
      <c r="I55" s="1310"/>
      <c r="J55" s="1311">
        <f t="shared" si="2"/>
        <v>0</v>
      </c>
      <c r="K55" s="1312"/>
      <c r="L55" s="1313"/>
      <c r="M55" s="1314">
        <f t="shared" si="3"/>
        <v>0</v>
      </c>
      <c r="N55" s="543"/>
      <c r="O55" s="1315"/>
      <c r="P55" s="1316">
        <f t="shared" si="0"/>
        <v>0</v>
      </c>
      <c r="Q55" s="1317"/>
      <c r="R55" s="827"/>
      <c r="S55" s="828"/>
      <c r="T55" s="1318"/>
      <c r="U55" s="829" t="str">
        <f>IF(OR(A55&lt;&gt;"",B55&lt;&gt;"",C55&lt;&gt;"",D55&lt;&gt;"",E55&lt;&gt;"",F55&lt;&gt;"",G55&lt;&gt;"",I55&lt;&gt;"",L55&lt;&gt;""),'Admin Sheet'!$B$44,"")</f>
        <v/>
      </c>
      <c r="V55" s="818"/>
      <c r="W55" s="444"/>
    </row>
    <row r="56" spans="1:23" ht="26.25" hidden="1" customHeight="1" x14ac:dyDescent="0.2">
      <c r="A56" s="1309"/>
      <c r="B56" s="1310"/>
      <c r="C56" s="1310"/>
      <c r="D56" s="1310"/>
      <c r="E56" s="1310"/>
      <c r="F56" s="1310"/>
      <c r="G56" s="1310"/>
      <c r="H56" s="1311">
        <f t="shared" si="1"/>
        <v>0</v>
      </c>
      <c r="I56" s="1310"/>
      <c r="J56" s="1311">
        <f t="shared" si="2"/>
        <v>0</v>
      </c>
      <c r="K56" s="1312"/>
      <c r="L56" s="1313"/>
      <c r="M56" s="1314">
        <f t="shared" si="3"/>
        <v>0</v>
      </c>
      <c r="N56" s="543"/>
      <c r="O56" s="1315"/>
      <c r="P56" s="1316">
        <f t="shared" si="0"/>
        <v>0</v>
      </c>
      <c r="Q56" s="1317"/>
      <c r="R56" s="827"/>
      <c r="S56" s="828"/>
      <c r="T56" s="1318"/>
      <c r="U56" s="829" t="str">
        <f>IF(OR(A56&lt;&gt;"",B56&lt;&gt;"",C56&lt;&gt;"",D56&lt;&gt;"",E56&lt;&gt;"",F56&lt;&gt;"",G56&lt;&gt;"",I56&lt;&gt;"",L56&lt;&gt;""),'Admin Sheet'!$B$44,"")</f>
        <v/>
      </c>
      <c r="V56" s="818"/>
      <c r="W56" s="444"/>
    </row>
    <row r="57" spans="1:23" ht="26.25" hidden="1" customHeight="1" x14ac:dyDescent="0.2">
      <c r="A57" s="1309"/>
      <c r="B57" s="1310"/>
      <c r="C57" s="1310"/>
      <c r="D57" s="1310"/>
      <c r="E57" s="1310"/>
      <c r="F57" s="1310"/>
      <c r="G57" s="1310"/>
      <c r="H57" s="1311">
        <f t="shared" si="1"/>
        <v>0</v>
      </c>
      <c r="I57" s="1310"/>
      <c r="J57" s="1311">
        <f t="shared" si="2"/>
        <v>0</v>
      </c>
      <c r="K57" s="1312"/>
      <c r="L57" s="1313"/>
      <c r="M57" s="1314">
        <f t="shared" si="3"/>
        <v>0</v>
      </c>
      <c r="N57" s="543"/>
      <c r="O57" s="1315"/>
      <c r="P57" s="1316">
        <f t="shared" si="0"/>
        <v>0</v>
      </c>
      <c r="Q57" s="1317"/>
      <c r="R57" s="827"/>
      <c r="S57" s="828"/>
      <c r="T57" s="1318"/>
      <c r="U57" s="829" t="str">
        <f>IF(OR(A57&lt;&gt;"",B57&lt;&gt;"",C57&lt;&gt;"",D57&lt;&gt;"",E57&lt;&gt;"",F57&lt;&gt;"",G57&lt;&gt;"",I57&lt;&gt;"",L57&lt;&gt;""),'Admin Sheet'!$B$44,"")</f>
        <v/>
      </c>
      <c r="V57" s="818"/>
      <c r="W57" s="444"/>
    </row>
    <row r="58" spans="1:23" ht="26.25" hidden="1" customHeight="1" x14ac:dyDescent="0.2">
      <c r="A58" s="1309"/>
      <c r="B58" s="1310"/>
      <c r="C58" s="1310"/>
      <c r="D58" s="1310"/>
      <c r="E58" s="1310"/>
      <c r="F58" s="1310"/>
      <c r="G58" s="1310"/>
      <c r="H58" s="1311">
        <f t="shared" si="1"/>
        <v>0</v>
      </c>
      <c r="I58" s="1310"/>
      <c r="J58" s="1311">
        <f t="shared" si="2"/>
        <v>0</v>
      </c>
      <c r="K58" s="1312"/>
      <c r="L58" s="1313"/>
      <c r="M58" s="1314">
        <f t="shared" si="3"/>
        <v>0</v>
      </c>
      <c r="N58" s="543"/>
      <c r="O58" s="1315"/>
      <c r="P58" s="1316">
        <f t="shared" si="0"/>
        <v>0</v>
      </c>
      <c r="Q58" s="1317"/>
      <c r="R58" s="827"/>
      <c r="S58" s="828"/>
      <c r="T58" s="1318"/>
      <c r="U58" s="829" t="str">
        <f>IF(OR(A58&lt;&gt;"",B58&lt;&gt;"",C58&lt;&gt;"",D58&lt;&gt;"",E58&lt;&gt;"",F58&lt;&gt;"",G58&lt;&gt;"",I58&lt;&gt;"",L58&lt;&gt;""),'Admin Sheet'!$B$44,"")</f>
        <v/>
      </c>
      <c r="V58" s="818"/>
      <c r="W58" s="444"/>
    </row>
    <row r="59" spans="1:23" ht="26.25" hidden="1" customHeight="1" x14ac:dyDescent="0.2">
      <c r="A59" s="1309"/>
      <c r="B59" s="1310"/>
      <c r="C59" s="1310"/>
      <c r="D59" s="1310"/>
      <c r="E59" s="1310"/>
      <c r="F59" s="1310"/>
      <c r="G59" s="1310"/>
      <c r="H59" s="1311">
        <f t="shared" si="1"/>
        <v>0</v>
      </c>
      <c r="I59" s="1310"/>
      <c r="J59" s="1311">
        <f t="shared" si="2"/>
        <v>0</v>
      </c>
      <c r="K59" s="1312"/>
      <c r="L59" s="1313"/>
      <c r="M59" s="1314">
        <f t="shared" si="3"/>
        <v>0</v>
      </c>
      <c r="N59" s="543"/>
      <c r="O59" s="1315"/>
      <c r="P59" s="1316">
        <f t="shared" si="0"/>
        <v>0</v>
      </c>
      <c r="Q59" s="1317"/>
      <c r="R59" s="827"/>
      <c r="S59" s="828"/>
      <c r="T59" s="1318"/>
      <c r="U59" s="829" t="str">
        <f>IF(OR(A59&lt;&gt;"",B59&lt;&gt;"",C59&lt;&gt;"",D59&lt;&gt;"",E59&lt;&gt;"",F59&lt;&gt;"",G59&lt;&gt;"",I59&lt;&gt;"",L59&lt;&gt;""),'Admin Sheet'!$B$44,"")</f>
        <v/>
      </c>
      <c r="V59" s="818"/>
      <c r="W59" s="444"/>
    </row>
    <row r="60" spans="1:23" ht="26.25" hidden="1" customHeight="1" x14ac:dyDescent="0.2">
      <c r="A60" s="1309"/>
      <c r="B60" s="1310"/>
      <c r="C60" s="1310"/>
      <c r="D60" s="1310"/>
      <c r="E60" s="1310"/>
      <c r="F60" s="1310"/>
      <c r="G60" s="1310"/>
      <c r="H60" s="1311">
        <f t="shared" si="1"/>
        <v>0</v>
      </c>
      <c r="I60" s="1310"/>
      <c r="J60" s="1311">
        <f t="shared" si="2"/>
        <v>0</v>
      </c>
      <c r="K60" s="1312"/>
      <c r="L60" s="1313"/>
      <c r="M60" s="1314">
        <f t="shared" si="3"/>
        <v>0</v>
      </c>
      <c r="N60" s="543"/>
      <c r="O60" s="1315"/>
      <c r="P60" s="1316">
        <f t="shared" si="0"/>
        <v>0</v>
      </c>
      <c r="Q60" s="1317"/>
      <c r="R60" s="827"/>
      <c r="S60" s="828"/>
      <c r="T60" s="1318"/>
      <c r="U60" s="829" t="str">
        <f>IF(OR(A60&lt;&gt;"",B60&lt;&gt;"",C60&lt;&gt;"",D60&lt;&gt;"",E60&lt;&gt;"",F60&lt;&gt;"",G60&lt;&gt;"",I60&lt;&gt;"",L60&lt;&gt;""),'Admin Sheet'!$B$44,"")</f>
        <v/>
      </c>
      <c r="V60" s="818"/>
      <c r="W60" s="444"/>
    </row>
    <row r="61" spans="1:23" ht="26.25" hidden="1" customHeight="1" x14ac:dyDescent="0.2">
      <c r="A61" s="1309"/>
      <c r="B61" s="1310"/>
      <c r="C61" s="1310"/>
      <c r="D61" s="1310"/>
      <c r="E61" s="1310"/>
      <c r="F61" s="1310"/>
      <c r="G61" s="1310"/>
      <c r="H61" s="1311">
        <f t="shared" si="1"/>
        <v>0</v>
      </c>
      <c r="I61" s="1310"/>
      <c r="J61" s="1311">
        <f t="shared" si="2"/>
        <v>0</v>
      </c>
      <c r="K61" s="1312"/>
      <c r="L61" s="1313"/>
      <c r="M61" s="1314">
        <f t="shared" si="3"/>
        <v>0</v>
      </c>
      <c r="N61" s="543"/>
      <c r="O61" s="1315"/>
      <c r="P61" s="1316">
        <f t="shared" si="0"/>
        <v>0</v>
      </c>
      <c r="Q61" s="1317"/>
      <c r="R61" s="827"/>
      <c r="S61" s="828"/>
      <c r="T61" s="1318"/>
      <c r="U61" s="829" t="str">
        <f>IF(OR(A61&lt;&gt;"",B61&lt;&gt;"",C61&lt;&gt;"",D61&lt;&gt;"",E61&lt;&gt;"",F61&lt;&gt;"",G61&lt;&gt;"",I61&lt;&gt;"",L61&lt;&gt;""),'Admin Sheet'!$B$44,"")</f>
        <v/>
      </c>
      <c r="V61" s="818"/>
      <c r="W61" s="444"/>
    </row>
    <row r="62" spans="1:23" ht="26.25" hidden="1" customHeight="1" x14ac:dyDescent="0.2">
      <c r="A62" s="1309"/>
      <c r="B62" s="1310"/>
      <c r="C62" s="1310"/>
      <c r="D62" s="1310"/>
      <c r="E62" s="1310"/>
      <c r="F62" s="1310"/>
      <c r="G62" s="1310"/>
      <c r="H62" s="1311">
        <f t="shared" si="1"/>
        <v>0</v>
      </c>
      <c r="I62" s="1310"/>
      <c r="J62" s="1311">
        <f t="shared" si="2"/>
        <v>0</v>
      </c>
      <c r="K62" s="1312"/>
      <c r="L62" s="1313"/>
      <c r="M62" s="1314">
        <f t="shared" si="3"/>
        <v>0</v>
      </c>
      <c r="N62" s="543"/>
      <c r="O62" s="1315"/>
      <c r="P62" s="1316">
        <f t="shared" si="0"/>
        <v>0</v>
      </c>
      <c r="Q62" s="1317"/>
      <c r="R62" s="827"/>
      <c r="S62" s="828"/>
      <c r="T62" s="1318"/>
      <c r="U62" s="829" t="str">
        <f>IF(OR(A62&lt;&gt;"",B62&lt;&gt;"",C62&lt;&gt;"",D62&lt;&gt;"",E62&lt;&gt;"",F62&lt;&gt;"",G62&lt;&gt;"",I62&lt;&gt;"",L62&lt;&gt;""),'Admin Sheet'!$B$44,"")</f>
        <v/>
      </c>
      <c r="V62" s="818"/>
      <c r="W62" s="444"/>
    </row>
    <row r="63" spans="1:23" ht="26.25" hidden="1" customHeight="1" x14ac:dyDescent="0.2">
      <c r="A63" s="1309"/>
      <c r="B63" s="1310"/>
      <c r="C63" s="1310"/>
      <c r="D63" s="1310"/>
      <c r="E63" s="1310"/>
      <c r="F63" s="1310"/>
      <c r="G63" s="1310"/>
      <c r="H63" s="1311">
        <f t="shared" si="1"/>
        <v>0</v>
      </c>
      <c r="I63" s="1310"/>
      <c r="J63" s="1311">
        <f t="shared" si="2"/>
        <v>0</v>
      </c>
      <c r="K63" s="1312"/>
      <c r="L63" s="1313"/>
      <c r="M63" s="1314">
        <f t="shared" si="3"/>
        <v>0</v>
      </c>
      <c r="N63" s="543"/>
      <c r="O63" s="1315"/>
      <c r="P63" s="1316">
        <f t="shared" si="0"/>
        <v>0</v>
      </c>
      <c r="Q63" s="1317"/>
      <c r="R63" s="827"/>
      <c r="S63" s="828"/>
      <c r="T63" s="1318"/>
      <c r="U63" s="829" t="str">
        <f>IF(OR(A63&lt;&gt;"",B63&lt;&gt;"",C63&lt;&gt;"",D63&lt;&gt;"",E63&lt;&gt;"",F63&lt;&gt;"",G63&lt;&gt;"",I63&lt;&gt;"",L63&lt;&gt;""),'Admin Sheet'!$B$44,"")</f>
        <v/>
      </c>
      <c r="V63" s="818"/>
      <c r="W63" s="444"/>
    </row>
    <row r="64" spans="1:23" ht="26.25" hidden="1" customHeight="1" x14ac:dyDescent="0.2">
      <c r="A64" s="1309"/>
      <c r="B64" s="1310"/>
      <c r="C64" s="1310"/>
      <c r="D64" s="1310"/>
      <c r="E64" s="1310"/>
      <c r="F64" s="1310"/>
      <c r="G64" s="1310"/>
      <c r="H64" s="1311">
        <f t="shared" si="1"/>
        <v>0</v>
      </c>
      <c r="I64" s="1310"/>
      <c r="J64" s="1311">
        <f t="shared" si="2"/>
        <v>0</v>
      </c>
      <c r="K64" s="1312"/>
      <c r="L64" s="1313"/>
      <c r="M64" s="1314">
        <f t="shared" si="3"/>
        <v>0</v>
      </c>
      <c r="N64" s="543"/>
      <c r="O64" s="1315"/>
      <c r="P64" s="1316">
        <f t="shared" si="0"/>
        <v>0</v>
      </c>
      <c r="Q64" s="1317"/>
      <c r="R64" s="827"/>
      <c r="S64" s="828"/>
      <c r="T64" s="1318"/>
      <c r="U64" s="829" t="str">
        <f>IF(OR(A64&lt;&gt;"",B64&lt;&gt;"",C64&lt;&gt;"",D64&lt;&gt;"",E64&lt;&gt;"",F64&lt;&gt;"",G64&lt;&gt;"",I64&lt;&gt;"",L64&lt;&gt;""),'Admin Sheet'!$B$44,"")</f>
        <v/>
      </c>
      <c r="V64" s="818"/>
      <c r="W64" s="444"/>
    </row>
    <row r="65" spans="1:23" ht="26.25" hidden="1" customHeight="1" x14ac:dyDescent="0.2">
      <c r="A65" s="1309"/>
      <c r="B65" s="1310"/>
      <c r="C65" s="1310"/>
      <c r="D65" s="1310"/>
      <c r="E65" s="1310"/>
      <c r="F65" s="1310"/>
      <c r="G65" s="1310"/>
      <c r="H65" s="1311">
        <f t="shared" si="1"/>
        <v>0</v>
      </c>
      <c r="I65" s="1310"/>
      <c r="J65" s="1311">
        <f t="shared" si="2"/>
        <v>0</v>
      </c>
      <c r="K65" s="1312"/>
      <c r="L65" s="1313"/>
      <c r="M65" s="1314">
        <f t="shared" si="3"/>
        <v>0</v>
      </c>
      <c r="N65" s="543"/>
      <c r="O65" s="1315"/>
      <c r="P65" s="1316">
        <f t="shared" si="0"/>
        <v>0</v>
      </c>
      <c r="Q65" s="1317"/>
      <c r="R65" s="827"/>
      <c r="S65" s="828"/>
      <c r="T65" s="1318"/>
      <c r="U65" s="829" t="str">
        <f>IF(OR(A65&lt;&gt;"",B65&lt;&gt;"",C65&lt;&gt;"",D65&lt;&gt;"",E65&lt;&gt;"",F65&lt;&gt;"",G65&lt;&gt;"",I65&lt;&gt;"",L65&lt;&gt;""),'Admin Sheet'!$B$44,"")</f>
        <v/>
      </c>
      <c r="V65" s="818"/>
      <c r="W65" s="444"/>
    </row>
    <row r="66" spans="1:23" ht="26.25" hidden="1" customHeight="1" x14ac:dyDescent="0.2">
      <c r="A66" s="1309"/>
      <c r="B66" s="1310"/>
      <c r="C66" s="1310"/>
      <c r="D66" s="1310"/>
      <c r="E66" s="1310"/>
      <c r="F66" s="1310"/>
      <c r="G66" s="1310"/>
      <c r="H66" s="1311">
        <f t="shared" si="1"/>
        <v>0</v>
      </c>
      <c r="I66" s="1310"/>
      <c r="J66" s="1311">
        <f t="shared" si="2"/>
        <v>0</v>
      </c>
      <c r="K66" s="1312"/>
      <c r="L66" s="1313"/>
      <c r="M66" s="1314">
        <f t="shared" si="3"/>
        <v>0</v>
      </c>
      <c r="N66" s="543"/>
      <c r="O66" s="1315"/>
      <c r="P66" s="1316">
        <f t="shared" si="0"/>
        <v>0</v>
      </c>
      <c r="Q66" s="1317"/>
      <c r="R66" s="827"/>
      <c r="S66" s="828"/>
      <c r="T66" s="1318"/>
      <c r="U66" s="829" t="str">
        <f>IF(OR(A66&lt;&gt;"",B66&lt;&gt;"",C66&lt;&gt;"",D66&lt;&gt;"",E66&lt;&gt;"",F66&lt;&gt;"",G66&lt;&gt;"",I66&lt;&gt;"",L66&lt;&gt;""),'Admin Sheet'!$B$44,"")</f>
        <v/>
      </c>
      <c r="V66" s="818"/>
      <c r="W66" s="444"/>
    </row>
    <row r="67" spans="1:23" ht="26.25" hidden="1" customHeight="1" x14ac:dyDescent="0.2">
      <c r="A67" s="1309"/>
      <c r="B67" s="1310"/>
      <c r="C67" s="1310"/>
      <c r="D67" s="1310"/>
      <c r="E67" s="1310"/>
      <c r="F67" s="1310"/>
      <c r="G67" s="1310"/>
      <c r="H67" s="1311">
        <f t="shared" si="1"/>
        <v>0</v>
      </c>
      <c r="I67" s="1310"/>
      <c r="J67" s="1311">
        <f t="shared" si="2"/>
        <v>0</v>
      </c>
      <c r="K67" s="1312"/>
      <c r="L67" s="1313"/>
      <c r="M67" s="1314">
        <f t="shared" si="3"/>
        <v>0</v>
      </c>
      <c r="N67" s="543"/>
      <c r="O67" s="1315"/>
      <c r="P67" s="1316">
        <f t="shared" si="0"/>
        <v>0</v>
      </c>
      <c r="Q67" s="1317"/>
      <c r="R67" s="827"/>
      <c r="S67" s="828"/>
      <c r="T67" s="1318"/>
      <c r="U67" s="829" t="str">
        <f>IF(OR(A67&lt;&gt;"",B67&lt;&gt;"",C67&lt;&gt;"",D67&lt;&gt;"",E67&lt;&gt;"",F67&lt;&gt;"",G67&lt;&gt;"",I67&lt;&gt;"",L67&lt;&gt;""),'Admin Sheet'!$B$44,"")</f>
        <v/>
      </c>
      <c r="V67" s="818"/>
      <c r="W67" s="444"/>
    </row>
    <row r="68" spans="1:23" ht="26.25" hidden="1" customHeight="1" x14ac:dyDescent="0.2">
      <c r="A68" s="1309"/>
      <c r="B68" s="1310"/>
      <c r="C68" s="1310"/>
      <c r="D68" s="1310"/>
      <c r="E68" s="1310"/>
      <c r="F68" s="1310"/>
      <c r="G68" s="1310"/>
      <c r="H68" s="1311">
        <f t="shared" si="1"/>
        <v>0</v>
      </c>
      <c r="I68" s="1310"/>
      <c r="J68" s="1311">
        <f t="shared" si="2"/>
        <v>0</v>
      </c>
      <c r="K68" s="1312"/>
      <c r="L68" s="1313"/>
      <c r="M68" s="1314">
        <f t="shared" si="3"/>
        <v>0</v>
      </c>
      <c r="N68" s="543"/>
      <c r="O68" s="1315"/>
      <c r="P68" s="1316">
        <f t="shared" si="0"/>
        <v>0</v>
      </c>
      <c r="Q68" s="1317"/>
      <c r="R68" s="827"/>
      <c r="S68" s="828"/>
      <c r="T68" s="1318"/>
      <c r="U68" s="829" t="str">
        <f>IF(OR(A68&lt;&gt;"",B68&lt;&gt;"",C68&lt;&gt;"",D68&lt;&gt;"",E68&lt;&gt;"",F68&lt;&gt;"",G68&lt;&gt;"",I68&lt;&gt;"",L68&lt;&gt;""),'Admin Sheet'!$B$44,"")</f>
        <v/>
      </c>
      <c r="V68" s="818"/>
      <c r="W68" s="444"/>
    </row>
    <row r="69" spans="1:23" ht="26.25" hidden="1" customHeight="1" x14ac:dyDescent="0.2">
      <c r="A69" s="1309"/>
      <c r="B69" s="1310"/>
      <c r="C69" s="1310"/>
      <c r="D69" s="1310"/>
      <c r="E69" s="1310"/>
      <c r="F69" s="1310"/>
      <c r="G69" s="1310"/>
      <c r="H69" s="1311">
        <f t="shared" si="1"/>
        <v>0</v>
      </c>
      <c r="I69" s="1310"/>
      <c r="J69" s="1311">
        <f t="shared" si="2"/>
        <v>0</v>
      </c>
      <c r="K69" s="1312"/>
      <c r="L69" s="1313"/>
      <c r="M69" s="1314">
        <f t="shared" si="3"/>
        <v>0</v>
      </c>
      <c r="N69" s="543"/>
      <c r="O69" s="1315"/>
      <c r="P69" s="1316">
        <f t="shared" si="0"/>
        <v>0</v>
      </c>
      <c r="Q69" s="1317"/>
      <c r="R69" s="827"/>
      <c r="S69" s="828"/>
      <c r="T69" s="1318"/>
      <c r="U69" s="829" t="str">
        <f>IF(OR(A69&lt;&gt;"",B69&lt;&gt;"",C69&lt;&gt;"",D69&lt;&gt;"",E69&lt;&gt;"",F69&lt;&gt;"",G69&lt;&gt;"",I69&lt;&gt;"",L69&lt;&gt;""),'Admin Sheet'!$B$44,"")</f>
        <v/>
      </c>
      <c r="V69" s="818"/>
      <c r="W69" s="444"/>
    </row>
    <row r="70" spans="1:23" ht="26.25" hidden="1" customHeight="1" x14ac:dyDescent="0.2">
      <c r="A70" s="1309"/>
      <c r="B70" s="1310"/>
      <c r="C70" s="1310"/>
      <c r="D70" s="1310"/>
      <c r="E70" s="1310"/>
      <c r="F70" s="1310"/>
      <c r="G70" s="1310"/>
      <c r="H70" s="1311">
        <f t="shared" si="1"/>
        <v>0</v>
      </c>
      <c r="I70" s="1310"/>
      <c r="J70" s="1311">
        <f t="shared" si="2"/>
        <v>0</v>
      </c>
      <c r="K70" s="1312"/>
      <c r="L70" s="1313"/>
      <c r="M70" s="1314">
        <f t="shared" si="3"/>
        <v>0</v>
      </c>
      <c r="N70" s="543"/>
      <c r="O70" s="1315"/>
      <c r="P70" s="1316">
        <f t="shared" si="0"/>
        <v>0</v>
      </c>
      <c r="Q70" s="1317"/>
      <c r="R70" s="827"/>
      <c r="S70" s="828"/>
      <c r="T70" s="1318"/>
      <c r="U70" s="829" t="str">
        <f>IF(OR(A70&lt;&gt;"",B70&lt;&gt;"",C70&lt;&gt;"",D70&lt;&gt;"",E70&lt;&gt;"",F70&lt;&gt;"",G70&lt;&gt;"",I70&lt;&gt;"",L70&lt;&gt;""),'Admin Sheet'!$B$44,"")</f>
        <v/>
      </c>
      <c r="V70" s="818"/>
      <c r="W70" s="444"/>
    </row>
    <row r="71" spans="1:23" ht="26.25" hidden="1" customHeight="1" x14ac:dyDescent="0.2">
      <c r="A71" s="1309"/>
      <c r="B71" s="1310"/>
      <c r="C71" s="1310"/>
      <c r="D71" s="1310"/>
      <c r="E71" s="1310"/>
      <c r="F71" s="1310"/>
      <c r="G71" s="1310"/>
      <c r="H71" s="1311">
        <f t="shared" si="1"/>
        <v>0</v>
      </c>
      <c r="I71" s="1310"/>
      <c r="J71" s="1311">
        <f t="shared" si="2"/>
        <v>0</v>
      </c>
      <c r="K71" s="1312"/>
      <c r="L71" s="1313"/>
      <c r="M71" s="1314">
        <f t="shared" si="3"/>
        <v>0</v>
      </c>
      <c r="N71" s="543"/>
      <c r="O71" s="1315"/>
      <c r="P71" s="1316">
        <f t="shared" si="0"/>
        <v>0</v>
      </c>
      <c r="Q71" s="1317"/>
      <c r="R71" s="827"/>
      <c r="S71" s="828"/>
      <c r="T71" s="1318"/>
      <c r="U71" s="829" t="str">
        <f>IF(OR(A71&lt;&gt;"",B71&lt;&gt;"",C71&lt;&gt;"",D71&lt;&gt;"",E71&lt;&gt;"",F71&lt;&gt;"",G71&lt;&gt;"",I71&lt;&gt;"",L71&lt;&gt;""),'Admin Sheet'!$B$44,"")</f>
        <v/>
      </c>
      <c r="V71" s="818"/>
      <c r="W71" s="444"/>
    </row>
    <row r="72" spans="1:23" ht="26.25" hidden="1" customHeight="1" x14ac:dyDescent="0.2">
      <c r="A72" s="1309"/>
      <c r="B72" s="1310"/>
      <c r="C72" s="1310"/>
      <c r="D72" s="1310"/>
      <c r="E72" s="1310"/>
      <c r="F72" s="1310"/>
      <c r="G72" s="1310"/>
      <c r="H72" s="1311">
        <f t="shared" si="1"/>
        <v>0</v>
      </c>
      <c r="I72" s="1310"/>
      <c r="J72" s="1311">
        <f t="shared" si="2"/>
        <v>0</v>
      </c>
      <c r="K72" s="1312"/>
      <c r="L72" s="1313"/>
      <c r="M72" s="1314">
        <f t="shared" si="3"/>
        <v>0</v>
      </c>
      <c r="N72" s="543"/>
      <c r="O72" s="1315"/>
      <c r="P72" s="1316">
        <f t="shared" si="0"/>
        <v>0</v>
      </c>
      <c r="Q72" s="1317"/>
      <c r="R72" s="827"/>
      <c r="S72" s="828"/>
      <c r="T72" s="1318"/>
      <c r="U72" s="829" t="str">
        <f>IF(OR(A72&lt;&gt;"",B72&lt;&gt;"",C72&lt;&gt;"",D72&lt;&gt;"",E72&lt;&gt;"",F72&lt;&gt;"",G72&lt;&gt;"",I72&lt;&gt;"",L72&lt;&gt;""),'Admin Sheet'!$B$44,"")</f>
        <v/>
      </c>
      <c r="V72" s="818"/>
      <c r="W72" s="444"/>
    </row>
    <row r="73" spans="1:23" ht="26.25" hidden="1" customHeight="1" x14ac:dyDescent="0.2">
      <c r="A73" s="1309"/>
      <c r="B73" s="1310"/>
      <c r="C73" s="1310"/>
      <c r="D73" s="1310"/>
      <c r="E73" s="1310"/>
      <c r="F73" s="1310"/>
      <c r="G73" s="1310"/>
      <c r="H73" s="1311">
        <f t="shared" si="1"/>
        <v>0</v>
      </c>
      <c r="I73" s="1310"/>
      <c r="J73" s="1311">
        <f t="shared" si="2"/>
        <v>0</v>
      </c>
      <c r="K73" s="1312"/>
      <c r="L73" s="1313"/>
      <c r="M73" s="1314">
        <f t="shared" si="3"/>
        <v>0</v>
      </c>
      <c r="N73" s="543"/>
      <c r="O73" s="1315"/>
      <c r="P73" s="1316">
        <f t="shared" si="0"/>
        <v>0</v>
      </c>
      <c r="Q73" s="1317"/>
      <c r="R73" s="827"/>
      <c r="S73" s="828"/>
      <c r="T73" s="1318"/>
      <c r="U73" s="829" t="str">
        <f>IF(OR(A73&lt;&gt;"",B73&lt;&gt;"",C73&lt;&gt;"",D73&lt;&gt;"",E73&lt;&gt;"",F73&lt;&gt;"",G73&lt;&gt;"",I73&lt;&gt;"",L73&lt;&gt;""),'Admin Sheet'!$B$44,"")</f>
        <v/>
      </c>
      <c r="V73" s="818"/>
      <c r="W73" s="444"/>
    </row>
    <row r="74" spans="1:23" ht="26.25" hidden="1" customHeight="1" x14ac:dyDescent="0.2">
      <c r="A74" s="1309"/>
      <c r="B74" s="1310"/>
      <c r="C74" s="1310"/>
      <c r="D74" s="1310"/>
      <c r="E74" s="1310"/>
      <c r="F74" s="1310"/>
      <c r="G74" s="1310"/>
      <c r="H74" s="1311">
        <f t="shared" ref="H74:H109" si="4">IFERROR(+C74+D74+E74-F74-G74,"")</f>
        <v>0</v>
      </c>
      <c r="I74" s="1310"/>
      <c r="J74" s="1311">
        <f t="shared" ref="J74:J109" si="5">IFERROR(+I74-H74,"")</f>
        <v>0</v>
      </c>
      <c r="K74" s="1312"/>
      <c r="L74" s="1313"/>
      <c r="M74" s="1314">
        <f t="shared" ref="M74:M109" si="6">IFERROR(H74+L74,"")</f>
        <v>0</v>
      </c>
      <c r="N74" s="543"/>
      <c r="O74" s="1315"/>
      <c r="P74" s="1316">
        <f t="shared" si="0"/>
        <v>0</v>
      </c>
      <c r="Q74" s="1317"/>
      <c r="R74" s="827"/>
      <c r="S74" s="828"/>
      <c r="T74" s="1318"/>
      <c r="U74" s="829" t="str">
        <f>IF(OR(A74&lt;&gt;"",B74&lt;&gt;"",C74&lt;&gt;"",D74&lt;&gt;"",E74&lt;&gt;"",F74&lt;&gt;"",G74&lt;&gt;"",I74&lt;&gt;"",L74&lt;&gt;""),'Admin Sheet'!$B$44,"")</f>
        <v/>
      </c>
      <c r="V74" s="818"/>
      <c r="W74" s="444"/>
    </row>
    <row r="75" spans="1:23" ht="26.25" hidden="1" customHeight="1" x14ac:dyDescent="0.2">
      <c r="A75" s="1309"/>
      <c r="B75" s="1310"/>
      <c r="C75" s="1310"/>
      <c r="D75" s="1310"/>
      <c r="E75" s="1310"/>
      <c r="F75" s="1310"/>
      <c r="G75" s="1310"/>
      <c r="H75" s="1311">
        <f t="shared" si="4"/>
        <v>0</v>
      </c>
      <c r="I75" s="1310"/>
      <c r="J75" s="1311">
        <f t="shared" si="5"/>
        <v>0</v>
      </c>
      <c r="K75" s="1312"/>
      <c r="L75" s="1313"/>
      <c r="M75" s="1314">
        <f t="shared" si="6"/>
        <v>0</v>
      </c>
      <c r="N75" s="543"/>
      <c r="O75" s="1315"/>
      <c r="P75" s="1316">
        <f t="shared" si="0"/>
        <v>0</v>
      </c>
      <c r="Q75" s="1317"/>
      <c r="R75" s="827"/>
      <c r="S75" s="828"/>
      <c r="T75" s="1318"/>
      <c r="U75" s="829" t="str">
        <f>IF(OR(A75&lt;&gt;"",B75&lt;&gt;"",C75&lt;&gt;"",D75&lt;&gt;"",E75&lt;&gt;"",F75&lt;&gt;"",G75&lt;&gt;"",I75&lt;&gt;"",L75&lt;&gt;""),'Admin Sheet'!$B$44,"")</f>
        <v/>
      </c>
      <c r="V75" s="818"/>
      <c r="W75" s="444"/>
    </row>
    <row r="76" spans="1:23" ht="26.25" hidden="1" customHeight="1" x14ac:dyDescent="0.2">
      <c r="A76" s="1309"/>
      <c r="B76" s="1310"/>
      <c r="C76" s="1310"/>
      <c r="D76" s="1310"/>
      <c r="E76" s="1310"/>
      <c r="F76" s="1310"/>
      <c r="G76" s="1310"/>
      <c r="H76" s="1311">
        <f t="shared" si="4"/>
        <v>0</v>
      </c>
      <c r="I76" s="1310"/>
      <c r="J76" s="1311">
        <f t="shared" si="5"/>
        <v>0</v>
      </c>
      <c r="K76" s="1312"/>
      <c r="L76" s="1313"/>
      <c r="M76" s="1314">
        <f t="shared" si="6"/>
        <v>0</v>
      </c>
      <c r="N76" s="543"/>
      <c r="O76" s="1315"/>
      <c r="P76" s="1316">
        <f t="shared" si="0"/>
        <v>0</v>
      </c>
      <c r="Q76" s="1317"/>
      <c r="R76" s="827"/>
      <c r="S76" s="828"/>
      <c r="T76" s="1318"/>
      <c r="U76" s="829" t="str">
        <f>IF(OR(A76&lt;&gt;"",B76&lt;&gt;"",C76&lt;&gt;"",D76&lt;&gt;"",E76&lt;&gt;"",F76&lt;&gt;"",G76&lt;&gt;"",I76&lt;&gt;"",L76&lt;&gt;""),'Admin Sheet'!$B$44,"")</f>
        <v/>
      </c>
      <c r="V76" s="818"/>
      <c r="W76" s="444"/>
    </row>
    <row r="77" spans="1:23" ht="26.25" hidden="1" customHeight="1" x14ac:dyDescent="0.2">
      <c r="A77" s="1309"/>
      <c r="B77" s="1310"/>
      <c r="C77" s="1310"/>
      <c r="D77" s="1310"/>
      <c r="E77" s="1310"/>
      <c r="F77" s="1310"/>
      <c r="G77" s="1310"/>
      <c r="H77" s="1311">
        <f t="shared" si="4"/>
        <v>0</v>
      </c>
      <c r="I77" s="1310"/>
      <c r="J77" s="1311">
        <f t="shared" si="5"/>
        <v>0</v>
      </c>
      <c r="K77" s="1312"/>
      <c r="L77" s="1313"/>
      <c r="M77" s="1314">
        <f t="shared" si="6"/>
        <v>0</v>
      </c>
      <c r="N77" s="543"/>
      <c r="O77" s="1315"/>
      <c r="P77" s="1316">
        <f t="shared" si="0"/>
        <v>0</v>
      </c>
      <c r="Q77" s="1317"/>
      <c r="R77" s="827"/>
      <c r="S77" s="828"/>
      <c r="T77" s="1318"/>
      <c r="U77" s="829" t="str">
        <f>IF(OR(A77&lt;&gt;"",B77&lt;&gt;"",C77&lt;&gt;"",D77&lt;&gt;"",E77&lt;&gt;"",F77&lt;&gt;"",G77&lt;&gt;"",I77&lt;&gt;"",L77&lt;&gt;""),'Admin Sheet'!$B$44,"")</f>
        <v/>
      </c>
      <c r="V77" s="818"/>
      <c r="W77" s="444"/>
    </row>
    <row r="78" spans="1:23" ht="26.25" hidden="1" customHeight="1" x14ac:dyDescent="0.2">
      <c r="A78" s="1309"/>
      <c r="B78" s="1310"/>
      <c r="C78" s="1310"/>
      <c r="D78" s="1310"/>
      <c r="E78" s="1310"/>
      <c r="F78" s="1310"/>
      <c r="G78" s="1310"/>
      <c r="H78" s="1311">
        <f t="shared" si="4"/>
        <v>0</v>
      </c>
      <c r="I78" s="1310"/>
      <c r="J78" s="1311">
        <f t="shared" si="5"/>
        <v>0</v>
      </c>
      <c r="K78" s="1312"/>
      <c r="L78" s="1313"/>
      <c r="M78" s="1314">
        <f t="shared" si="6"/>
        <v>0</v>
      </c>
      <c r="N78" s="543"/>
      <c r="O78" s="1315"/>
      <c r="P78" s="1316">
        <f t="shared" si="0"/>
        <v>0</v>
      </c>
      <c r="Q78" s="1317"/>
      <c r="R78" s="827"/>
      <c r="S78" s="828"/>
      <c r="T78" s="1318"/>
      <c r="U78" s="829" t="str">
        <f>IF(OR(A78&lt;&gt;"",B78&lt;&gt;"",C78&lt;&gt;"",D78&lt;&gt;"",E78&lt;&gt;"",F78&lt;&gt;"",G78&lt;&gt;"",I78&lt;&gt;"",L78&lt;&gt;""),'Admin Sheet'!$B$44,"")</f>
        <v/>
      </c>
      <c r="V78" s="818"/>
      <c r="W78" s="444"/>
    </row>
    <row r="79" spans="1:23" ht="26.25" hidden="1" customHeight="1" x14ac:dyDescent="0.2">
      <c r="A79" s="1309"/>
      <c r="B79" s="1310"/>
      <c r="C79" s="1310"/>
      <c r="D79" s="1310"/>
      <c r="E79" s="1310"/>
      <c r="F79" s="1310"/>
      <c r="G79" s="1310"/>
      <c r="H79" s="1311">
        <f t="shared" si="4"/>
        <v>0</v>
      </c>
      <c r="I79" s="1310"/>
      <c r="J79" s="1311">
        <f t="shared" si="5"/>
        <v>0</v>
      </c>
      <c r="K79" s="1312"/>
      <c r="L79" s="1313"/>
      <c r="M79" s="1314">
        <f t="shared" si="6"/>
        <v>0</v>
      </c>
      <c r="N79" s="543"/>
      <c r="O79" s="1315"/>
      <c r="P79" s="1316">
        <f t="shared" si="0"/>
        <v>0</v>
      </c>
      <c r="Q79" s="1317"/>
      <c r="R79" s="827"/>
      <c r="S79" s="828"/>
      <c r="T79" s="1318"/>
      <c r="U79" s="829" t="str">
        <f>IF(OR(A79&lt;&gt;"",B79&lt;&gt;"",C79&lt;&gt;"",D79&lt;&gt;"",E79&lt;&gt;"",F79&lt;&gt;"",G79&lt;&gt;"",I79&lt;&gt;"",L79&lt;&gt;""),'Admin Sheet'!$B$44,"")</f>
        <v/>
      </c>
      <c r="V79" s="818"/>
      <c r="W79" s="444"/>
    </row>
    <row r="80" spans="1:23" ht="26.25" hidden="1" customHeight="1" x14ac:dyDescent="0.2">
      <c r="A80" s="1309"/>
      <c r="B80" s="1310"/>
      <c r="C80" s="1310"/>
      <c r="D80" s="1310"/>
      <c r="E80" s="1310"/>
      <c r="F80" s="1310"/>
      <c r="G80" s="1310"/>
      <c r="H80" s="1311">
        <f t="shared" si="4"/>
        <v>0</v>
      </c>
      <c r="I80" s="1310"/>
      <c r="J80" s="1311">
        <f t="shared" si="5"/>
        <v>0</v>
      </c>
      <c r="K80" s="1312"/>
      <c r="L80" s="1313"/>
      <c r="M80" s="1314">
        <f t="shared" si="6"/>
        <v>0</v>
      </c>
      <c r="N80" s="543"/>
      <c r="O80" s="1315"/>
      <c r="P80" s="1316">
        <f t="shared" si="0"/>
        <v>0</v>
      </c>
      <c r="Q80" s="1317"/>
      <c r="R80" s="827"/>
      <c r="S80" s="828"/>
      <c r="T80" s="1318"/>
      <c r="U80" s="829" t="str">
        <f>IF(OR(A80&lt;&gt;"",B80&lt;&gt;"",C80&lt;&gt;"",D80&lt;&gt;"",E80&lt;&gt;"",F80&lt;&gt;"",G80&lt;&gt;"",I80&lt;&gt;"",L80&lt;&gt;""),'Admin Sheet'!$B$44,"")</f>
        <v/>
      </c>
      <c r="V80" s="818"/>
      <c r="W80" s="444"/>
    </row>
    <row r="81" spans="1:23" ht="26.25" hidden="1" customHeight="1" x14ac:dyDescent="0.2">
      <c r="A81" s="1309"/>
      <c r="B81" s="1310"/>
      <c r="C81" s="1310"/>
      <c r="D81" s="1310"/>
      <c r="E81" s="1310"/>
      <c r="F81" s="1310"/>
      <c r="G81" s="1310"/>
      <c r="H81" s="1311">
        <f t="shared" si="4"/>
        <v>0</v>
      </c>
      <c r="I81" s="1310"/>
      <c r="J81" s="1311">
        <f t="shared" si="5"/>
        <v>0</v>
      </c>
      <c r="K81" s="1312"/>
      <c r="L81" s="1313"/>
      <c r="M81" s="1314">
        <f t="shared" si="6"/>
        <v>0</v>
      </c>
      <c r="N81" s="543"/>
      <c r="O81" s="1315"/>
      <c r="P81" s="1316">
        <f t="shared" si="0"/>
        <v>0</v>
      </c>
      <c r="Q81" s="1317"/>
      <c r="R81" s="827"/>
      <c r="S81" s="828"/>
      <c r="T81" s="1318"/>
      <c r="U81" s="829" t="str">
        <f>IF(OR(A81&lt;&gt;"",B81&lt;&gt;"",C81&lt;&gt;"",D81&lt;&gt;"",E81&lt;&gt;"",F81&lt;&gt;"",G81&lt;&gt;"",I81&lt;&gt;"",L81&lt;&gt;""),'Admin Sheet'!$B$44,"")</f>
        <v/>
      </c>
      <c r="V81" s="818"/>
      <c r="W81" s="444"/>
    </row>
    <row r="82" spans="1:23" ht="26.25" hidden="1" customHeight="1" x14ac:dyDescent="0.2">
      <c r="A82" s="1309"/>
      <c r="B82" s="1310"/>
      <c r="C82" s="1310"/>
      <c r="D82" s="1310"/>
      <c r="E82" s="1310"/>
      <c r="F82" s="1310"/>
      <c r="G82" s="1310"/>
      <c r="H82" s="1311">
        <f t="shared" si="4"/>
        <v>0</v>
      </c>
      <c r="I82" s="1310"/>
      <c r="J82" s="1311">
        <f t="shared" si="5"/>
        <v>0</v>
      </c>
      <c r="K82" s="1312"/>
      <c r="L82" s="1313"/>
      <c r="M82" s="1314">
        <f t="shared" si="6"/>
        <v>0</v>
      </c>
      <c r="N82" s="543"/>
      <c r="O82" s="1315"/>
      <c r="P82" s="1316">
        <f t="shared" si="0"/>
        <v>0</v>
      </c>
      <c r="Q82" s="1317"/>
      <c r="R82" s="827"/>
      <c r="S82" s="828"/>
      <c r="T82" s="1318"/>
      <c r="U82" s="829" t="str">
        <f>IF(OR(A82&lt;&gt;"",B82&lt;&gt;"",C82&lt;&gt;"",D82&lt;&gt;"",E82&lt;&gt;"",F82&lt;&gt;"",G82&lt;&gt;"",I82&lt;&gt;"",L82&lt;&gt;""),'Admin Sheet'!$B$44,"")</f>
        <v/>
      </c>
      <c r="V82" s="818"/>
      <c r="W82" s="444"/>
    </row>
    <row r="83" spans="1:23" ht="26.25" hidden="1" customHeight="1" x14ac:dyDescent="0.2">
      <c r="A83" s="1309"/>
      <c r="B83" s="1310"/>
      <c r="C83" s="1310"/>
      <c r="D83" s="1310"/>
      <c r="E83" s="1310"/>
      <c r="F83" s="1310"/>
      <c r="G83" s="1310"/>
      <c r="H83" s="1311">
        <f t="shared" si="4"/>
        <v>0</v>
      </c>
      <c r="I83" s="1310"/>
      <c r="J83" s="1311">
        <f t="shared" si="5"/>
        <v>0</v>
      </c>
      <c r="K83" s="1312"/>
      <c r="L83" s="1313"/>
      <c r="M83" s="1314">
        <f t="shared" si="6"/>
        <v>0</v>
      </c>
      <c r="N83" s="543"/>
      <c r="O83" s="1315"/>
      <c r="P83" s="1316">
        <f t="shared" si="0"/>
        <v>0</v>
      </c>
      <c r="Q83" s="1317"/>
      <c r="R83" s="827"/>
      <c r="S83" s="828"/>
      <c r="T83" s="1318"/>
      <c r="U83" s="829" t="str">
        <f>IF(OR(A83&lt;&gt;"",B83&lt;&gt;"",C83&lt;&gt;"",D83&lt;&gt;"",E83&lt;&gt;"",F83&lt;&gt;"",G83&lt;&gt;"",I83&lt;&gt;"",L83&lt;&gt;""),'Admin Sheet'!$B$44,"")</f>
        <v/>
      </c>
      <c r="V83" s="818"/>
      <c r="W83" s="444"/>
    </row>
    <row r="84" spans="1:23" ht="26.25" hidden="1" customHeight="1" x14ac:dyDescent="0.2">
      <c r="A84" s="1309"/>
      <c r="B84" s="1310"/>
      <c r="C84" s="1310"/>
      <c r="D84" s="1310"/>
      <c r="E84" s="1310"/>
      <c r="F84" s="1310"/>
      <c r="G84" s="1310"/>
      <c r="H84" s="1311">
        <f t="shared" si="4"/>
        <v>0</v>
      </c>
      <c r="I84" s="1310"/>
      <c r="J84" s="1311">
        <f t="shared" si="5"/>
        <v>0</v>
      </c>
      <c r="K84" s="1312"/>
      <c r="L84" s="1313"/>
      <c r="M84" s="1314">
        <f t="shared" si="6"/>
        <v>0</v>
      </c>
      <c r="N84" s="543"/>
      <c r="O84" s="1315"/>
      <c r="P84" s="1316">
        <f t="shared" si="0"/>
        <v>0</v>
      </c>
      <c r="Q84" s="1317"/>
      <c r="R84" s="827"/>
      <c r="S84" s="828"/>
      <c r="T84" s="1318"/>
      <c r="U84" s="829" t="str">
        <f>IF(OR(A84&lt;&gt;"",B84&lt;&gt;"",C84&lt;&gt;"",D84&lt;&gt;"",E84&lt;&gt;"",F84&lt;&gt;"",G84&lt;&gt;"",I84&lt;&gt;"",L84&lt;&gt;""),'Admin Sheet'!$B$44,"")</f>
        <v/>
      </c>
      <c r="V84" s="818"/>
      <c r="W84" s="444"/>
    </row>
    <row r="85" spans="1:23" ht="26.25" hidden="1" customHeight="1" x14ac:dyDescent="0.2">
      <c r="A85" s="1309"/>
      <c r="B85" s="1310"/>
      <c r="C85" s="1310"/>
      <c r="D85" s="1310"/>
      <c r="E85" s="1310"/>
      <c r="F85" s="1310"/>
      <c r="G85" s="1310"/>
      <c r="H85" s="1311">
        <f t="shared" si="4"/>
        <v>0</v>
      </c>
      <c r="I85" s="1310"/>
      <c r="J85" s="1311">
        <f t="shared" si="5"/>
        <v>0</v>
      </c>
      <c r="K85" s="1312"/>
      <c r="L85" s="1313"/>
      <c r="M85" s="1314">
        <f t="shared" si="6"/>
        <v>0</v>
      </c>
      <c r="N85" s="543"/>
      <c r="O85" s="1315"/>
      <c r="P85" s="1316">
        <f t="shared" si="0"/>
        <v>0</v>
      </c>
      <c r="Q85" s="1317"/>
      <c r="R85" s="827"/>
      <c r="S85" s="828"/>
      <c r="T85" s="1318"/>
      <c r="U85" s="829" t="str">
        <f>IF(OR(A85&lt;&gt;"",B85&lt;&gt;"",C85&lt;&gt;"",D85&lt;&gt;"",E85&lt;&gt;"",F85&lt;&gt;"",G85&lt;&gt;"",I85&lt;&gt;"",L85&lt;&gt;""),'Admin Sheet'!$B$44,"")</f>
        <v/>
      </c>
      <c r="V85" s="818"/>
      <c r="W85" s="444"/>
    </row>
    <row r="86" spans="1:23" ht="26.25" hidden="1" customHeight="1" x14ac:dyDescent="0.2">
      <c r="A86" s="1309"/>
      <c r="B86" s="1310"/>
      <c r="C86" s="1310"/>
      <c r="D86" s="1310"/>
      <c r="E86" s="1310"/>
      <c r="F86" s="1310"/>
      <c r="G86" s="1310"/>
      <c r="H86" s="1311">
        <f t="shared" si="4"/>
        <v>0</v>
      </c>
      <c r="I86" s="1310"/>
      <c r="J86" s="1311">
        <f t="shared" si="5"/>
        <v>0</v>
      </c>
      <c r="K86" s="1312"/>
      <c r="L86" s="1313"/>
      <c r="M86" s="1314">
        <f t="shared" si="6"/>
        <v>0</v>
      </c>
      <c r="N86" s="543"/>
      <c r="O86" s="1315"/>
      <c r="P86" s="1316">
        <f t="shared" si="0"/>
        <v>0</v>
      </c>
      <c r="Q86" s="1317"/>
      <c r="R86" s="827"/>
      <c r="S86" s="828"/>
      <c r="T86" s="1318"/>
      <c r="U86" s="829" t="str">
        <f>IF(OR(A86&lt;&gt;"",B86&lt;&gt;"",C86&lt;&gt;"",D86&lt;&gt;"",E86&lt;&gt;"",F86&lt;&gt;"",G86&lt;&gt;"",I86&lt;&gt;"",L86&lt;&gt;""),'Admin Sheet'!$B$44,"")</f>
        <v/>
      </c>
      <c r="V86" s="818"/>
      <c r="W86" s="444"/>
    </row>
    <row r="87" spans="1:23" ht="26.25" hidden="1" customHeight="1" x14ac:dyDescent="0.2">
      <c r="A87" s="1309"/>
      <c r="B87" s="1310"/>
      <c r="C87" s="1310"/>
      <c r="D87" s="1310"/>
      <c r="E87" s="1310"/>
      <c r="F87" s="1310"/>
      <c r="G87" s="1310"/>
      <c r="H87" s="1311">
        <f t="shared" si="4"/>
        <v>0</v>
      </c>
      <c r="I87" s="1310"/>
      <c r="J87" s="1311">
        <f t="shared" si="5"/>
        <v>0</v>
      </c>
      <c r="K87" s="1312"/>
      <c r="L87" s="1313"/>
      <c r="M87" s="1314">
        <f t="shared" si="6"/>
        <v>0</v>
      </c>
      <c r="N87" s="543"/>
      <c r="O87" s="1315"/>
      <c r="P87" s="1316">
        <f t="shared" si="0"/>
        <v>0</v>
      </c>
      <c r="Q87" s="1317"/>
      <c r="R87" s="827"/>
      <c r="S87" s="828"/>
      <c r="T87" s="1318"/>
      <c r="U87" s="829" t="str">
        <f>IF(OR(A87&lt;&gt;"",B87&lt;&gt;"",C87&lt;&gt;"",D87&lt;&gt;"",E87&lt;&gt;"",F87&lt;&gt;"",G87&lt;&gt;"",I87&lt;&gt;"",L87&lt;&gt;""),'Admin Sheet'!$B$44,"")</f>
        <v/>
      </c>
      <c r="V87" s="818"/>
      <c r="W87" s="444"/>
    </row>
    <row r="88" spans="1:23" ht="26.25" hidden="1" customHeight="1" x14ac:dyDescent="0.2">
      <c r="A88" s="1309"/>
      <c r="B88" s="1310"/>
      <c r="C88" s="1310"/>
      <c r="D88" s="1310"/>
      <c r="E88" s="1310"/>
      <c r="F88" s="1310"/>
      <c r="G88" s="1310"/>
      <c r="H88" s="1311">
        <f t="shared" si="4"/>
        <v>0</v>
      </c>
      <c r="I88" s="1310"/>
      <c r="J88" s="1311">
        <f t="shared" si="5"/>
        <v>0</v>
      </c>
      <c r="K88" s="1312"/>
      <c r="L88" s="1313"/>
      <c r="M88" s="1314">
        <f t="shared" si="6"/>
        <v>0</v>
      </c>
      <c r="N88" s="543"/>
      <c r="O88" s="1315"/>
      <c r="P88" s="1316">
        <f t="shared" si="0"/>
        <v>0</v>
      </c>
      <c r="Q88" s="1317"/>
      <c r="R88" s="827"/>
      <c r="S88" s="828"/>
      <c r="T88" s="1318"/>
      <c r="U88" s="829" t="str">
        <f>IF(OR(A88&lt;&gt;"",B88&lt;&gt;"",C88&lt;&gt;"",D88&lt;&gt;"",E88&lt;&gt;"",F88&lt;&gt;"",G88&lt;&gt;"",I88&lt;&gt;"",L88&lt;&gt;""),'Admin Sheet'!$B$44,"")</f>
        <v/>
      </c>
      <c r="V88" s="818"/>
      <c r="W88" s="444"/>
    </row>
    <row r="89" spans="1:23" ht="26.25" hidden="1" customHeight="1" x14ac:dyDescent="0.2">
      <c r="A89" s="1309"/>
      <c r="B89" s="1310"/>
      <c r="C89" s="1310"/>
      <c r="D89" s="1310"/>
      <c r="E89" s="1310"/>
      <c r="F89" s="1310"/>
      <c r="G89" s="1310"/>
      <c r="H89" s="1311">
        <f t="shared" si="4"/>
        <v>0</v>
      </c>
      <c r="I89" s="1310"/>
      <c r="J89" s="1311">
        <f t="shared" si="5"/>
        <v>0</v>
      </c>
      <c r="K89" s="1312"/>
      <c r="L89" s="1313"/>
      <c r="M89" s="1314">
        <f t="shared" si="6"/>
        <v>0</v>
      </c>
      <c r="N89" s="543"/>
      <c r="O89" s="1315"/>
      <c r="P89" s="1316">
        <f t="shared" si="0"/>
        <v>0</v>
      </c>
      <c r="Q89" s="1317"/>
      <c r="R89" s="827"/>
      <c r="S89" s="828"/>
      <c r="T89" s="1318"/>
      <c r="U89" s="829" t="str">
        <f>IF(OR(A89&lt;&gt;"",B89&lt;&gt;"",C89&lt;&gt;"",D89&lt;&gt;"",E89&lt;&gt;"",F89&lt;&gt;"",G89&lt;&gt;"",I89&lt;&gt;"",L89&lt;&gt;""),'Admin Sheet'!$B$44,"")</f>
        <v/>
      </c>
      <c r="V89" s="818"/>
      <c r="W89" s="444"/>
    </row>
    <row r="90" spans="1:23" ht="26.25" hidden="1" customHeight="1" x14ac:dyDescent="0.2">
      <c r="A90" s="1309"/>
      <c r="B90" s="1310"/>
      <c r="C90" s="1310"/>
      <c r="D90" s="1310"/>
      <c r="E90" s="1310"/>
      <c r="F90" s="1310"/>
      <c r="G90" s="1310"/>
      <c r="H90" s="1311">
        <f t="shared" si="4"/>
        <v>0</v>
      </c>
      <c r="I90" s="1310"/>
      <c r="J90" s="1311">
        <f t="shared" si="5"/>
        <v>0</v>
      </c>
      <c r="K90" s="1312"/>
      <c r="L90" s="1313"/>
      <c r="M90" s="1314">
        <f t="shared" si="6"/>
        <v>0</v>
      </c>
      <c r="N90" s="543"/>
      <c r="O90" s="1315"/>
      <c r="P90" s="1316">
        <f t="shared" si="0"/>
        <v>0</v>
      </c>
      <c r="Q90" s="1317"/>
      <c r="R90" s="827"/>
      <c r="S90" s="828"/>
      <c r="T90" s="1318"/>
      <c r="U90" s="829" t="str">
        <f>IF(OR(A90&lt;&gt;"",B90&lt;&gt;"",C90&lt;&gt;"",D90&lt;&gt;"",E90&lt;&gt;"",F90&lt;&gt;"",G90&lt;&gt;"",I90&lt;&gt;"",L90&lt;&gt;""),'Admin Sheet'!$B$44,"")</f>
        <v/>
      </c>
      <c r="V90" s="818"/>
      <c r="W90" s="444"/>
    </row>
    <row r="91" spans="1:23" ht="26.25" hidden="1" customHeight="1" x14ac:dyDescent="0.2">
      <c r="A91" s="1309"/>
      <c r="B91" s="1310"/>
      <c r="C91" s="1310"/>
      <c r="D91" s="1310"/>
      <c r="E91" s="1310"/>
      <c r="F91" s="1310"/>
      <c r="G91" s="1310"/>
      <c r="H91" s="1311">
        <f t="shared" si="4"/>
        <v>0</v>
      </c>
      <c r="I91" s="1310"/>
      <c r="J91" s="1311">
        <f t="shared" si="5"/>
        <v>0</v>
      </c>
      <c r="K91" s="1312"/>
      <c r="L91" s="1313"/>
      <c r="M91" s="1314">
        <f t="shared" si="6"/>
        <v>0</v>
      </c>
      <c r="N91" s="543"/>
      <c r="O91" s="1315"/>
      <c r="P91" s="1316">
        <f t="shared" si="0"/>
        <v>0</v>
      </c>
      <c r="Q91" s="1317"/>
      <c r="R91" s="827"/>
      <c r="S91" s="828"/>
      <c r="T91" s="1318"/>
      <c r="U91" s="829" t="str">
        <f>IF(OR(A91&lt;&gt;"",B91&lt;&gt;"",C91&lt;&gt;"",D91&lt;&gt;"",E91&lt;&gt;"",F91&lt;&gt;"",G91&lt;&gt;"",I91&lt;&gt;"",L91&lt;&gt;""),'Admin Sheet'!$B$44,"")</f>
        <v/>
      </c>
      <c r="V91" s="818"/>
      <c r="W91" s="444"/>
    </row>
    <row r="92" spans="1:23" ht="26.25" hidden="1" customHeight="1" x14ac:dyDescent="0.2">
      <c r="A92" s="1309"/>
      <c r="B92" s="1310"/>
      <c r="C92" s="1310"/>
      <c r="D92" s="1310"/>
      <c r="E92" s="1310"/>
      <c r="F92" s="1310"/>
      <c r="G92" s="1310"/>
      <c r="H92" s="1311">
        <f t="shared" si="4"/>
        <v>0</v>
      </c>
      <c r="I92" s="1310"/>
      <c r="J92" s="1311">
        <f t="shared" si="5"/>
        <v>0</v>
      </c>
      <c r="K92" s="1312"/>
      <c r="L92" s="1313"/>
      <c r="M92" s="1314">
        <f t="shared" si="6"/>
        <v>0</v>
      </c>
      <c r="N92" s="543"/>
      <c r="O92" s="1315"/>
      <c r="P92" s="1316">
        <f t="shared" si="0"/>
        <v>0</v>
      </c>
      <c r="Q92" s="1317"/>
      <c r="R92" s="827"/>
      <c r="S92" s="828"/>
      <c r="T92" s="1318"/>
      <c r="U92" s="829" t="str">
        <f>IF(OR(A92&lt;&gt;"",B92&lt;&gt;"",C92&lt;&gt;"",D92&lt;&gt;"",E92&lt;&gt;"",F92&lt;&gt;"",G92&lt;&gt;"",I92&lt;&gt;"",L92&lt;&gt;""),'Admin Sheet'!$B$44,"")</f>
        <v/>
      </c>
      <c r="V92" s="818"/>
      <c r="W92" s="444"/>
    </row>
    <row r="93" spans="1:23" ht="26.25" hidden="1" customHeight="1" x14ac:dyDescent="0.2">
      <c r="A93" s="1309"/>
      <c r="B93" s="1310"/>
      <c r="C93" s="1310"/>
      <c r="D93" s="1310"/>
      <c r="E93" s="1310"/>
      <c r="F93" s="1310"/>
      <c r="G93" s="1310"/>
      <c r="H93" s="1311">
        <f t="shared" si="4"/>
        <v>0</v>
      </c>
      <c r="I93" s="1310"/>
      <c r="J93" s="1311">
        <f t="shared" si="5"/>
        <v>0</v>
      </c>
      <c r="K93" s="1312"/>
      <c r="L93" s="1313"/>
      <c r="M93" s="1314">
        <f t="shared" si="6"/>
        <v>0</v>
      </c>
      <c r="N93" s="543"/>
      <c r="O93" s="1315"/>
      <c r="P93" s="1316">
        <f t="shared" si="0"/>
        <v>0</v>
      </c>
      <c r="Q93" s="1317"/>
      <c r="R93" s="827"/>
      <c r="S93" s="828"/>
      <c r="T93" s="1318"/>
      <c r="U93" s="829" t="str">
        <f>IF(OR(A93&lt;&gt;"",B93&lt;&gt;"",C93&lt;&gt;"",D93&lt;&gt;"",E93&lt;&gt;"",F93&lt;&gt;"",G93&lt;&gt;"",I93&lt;&gt;"",L93&lt;&gt;""),'Admin Sheet'!$B$44,"")</f>
        <v/>
      </c>
      <c r="V93" s="818"/>
      <c r="W93" s="444"/>
    </row>
    <row r="94" spans="1:23" ht="26.25" hidden="1" customHeight="1" x14ac:dyDescent="0.2">
      <c r="A94" s="1309"/>
      <c r="B94" s="1310"/>
      <c r="C94" s="1310"/>
      <c r="D94" s="1310"/>
      <c r="E94" s="1310"/>
      <c r="F94" s="1310"/>
      <c r="G94" s="1310"/>
      <c r="H94" s="1311">
        <f t="shared" si="4"/>
        <v>0</v>
      </c>
      <c r="I94" s="1310"/>
      <c r="J94" s="1311">
        <f t="shared" si="5"/>
        <v>0</v>
      </c>
      <c r="K94" s="1312"/>
      <c r="L94" s="1313"/>
      <c r="M94" s="1314">
        <f t="shared" si="6"/>
        <v>0</v>
      </c>
      <c r="N94" s="543"/>
      <c r="O94" s="1315"/>
      <c r="P94" s="1316">
        <f t="shared" si="0"/>
        <v>0</v>
      </c>
      <c r="Q94" s="1317"/>
      <c r="R94" s="827"/>
      <c r="S94" s="828"/>
      <c r="T94" s="1318"/>
      <c r="U94" s="829" t="str">
        <f>IF(OR(A94&lt;&gt;"",B94&lt;&gt;"",C94&lt;&gt;"",D94&lt;&gt;"",E94&lt;&gt;"",F94&lt;&gt;"",G94&lt;&gt;"",I94&lt;&gt;"",L94&lt;&gt;""),'Admin Sheet'!$B$44,"")</f>
        <v/>
      </c>
      <c r="V94" s="818"/>
      <c r="W94" s="444"/>
    </row>
    <row r="95" spans="1:23" ht="26.25" hidden="1" customHeight="1" x14ac:dyDescent="0.2">
      <c r="A95" s="1309"/>
      <c r="B95" s="1310"/>
      <c r="C95" s="1310"/>
      <c r="D95" s="1310"/>
      <c r="E95" s="1310"/>
      <c r="F95" s="1310"/>
      <c r="G95" s="1310"/>
      <c r="H95" s="1311">
        <f t="shared" si="4"/>
        <v>0</v>
      </c>
      <c r="I95" s="1310"/>
      <c r="J95" s="1311">
        <f t="shared" si="5"/>
        <v>0</v>
      </c>
      <c r="K95" s="1312"/>
      <c r="L95" s="1313"/>
      <c r="M95" s="1314">
        <f t="shared" si="6"/>
        <v>0</v>
      </c>
      <c r="N95" s="543"/>
      <c r="O95" s="1315"/>
      <c r="P95" s="1316">
        <f t="shared" si="0"/>
        <v>0</v>
      </c>
      <c r="Q95" s="1317"/>
      <c r="R95" s="827"/>
      <c r="S95" s="828"/>
      <c r="T95" s="1318"/>
      <c r="U95" s="829" t="str">
        <f>IF(OR(A95&lt;&gt;"",B95&lt;&gt;"",C95&lt;&gt;"",D95&lt;&gt;"",E95&lt;&gt;"",F95&lt;&gt;"",G95&lt;&gt;"",I95&lt;&gt;"",L95&lt;&gt;""),'Admin Sheet'!$B$44,"")</f>
        <v/>
      </c>
      <c r="V95" s="818"/>
      <c r="W95" s="444"/>
    </row>
    <row r="96" spans="1:23" ht="26.25" hidden="1" customHeight="1" x14ac:dyDescent="0.2">
      <c r="A96" s="1309"/>
      <c r="B96" s="1310"/>
      <c r="C96" s="1310"/>
      <c r="D96" s="1310"/>
      <c r="E96" s="1310"/>
      <c r="F96" s="1310"/>
      <c r="G96" s="1310"/>
      <c r="H96" s="1311">
        <f t="shared" si="4"/>
        <v>0</v>
      </c>
      <c r="I96" s="1310"/>
      <c r="J96" s="1311">
        <f t="shared" si="5"/>
        <v>0</v>
      </c>
      <c r="K96" s="1312"/>
      <c r="L96" s="1313"/>
      <c r="M96" s="1314">
        <f t="shared" si="6"/>
        <v>0</v>
      </c>
      <c r="N96" s="543"/>
      <c r="O96" s="1315"/>
      <c r="P96" s="1316">
        <f t="shared" si="0"/>
        <v>0</v>
      </c>
      <c r="Q96" s="1317"/>
      <c r="R96" s="827"/>
      <c r="S96" s="828"/>
      <c r="T96" s="1318"/>
      <c r="U96" s="829" t="str">
        <f>IF(OR(A96&lt;&gt;"",B96&lt;&gt;"",C96&lt;&gt;"",D96&lt;&gt;"",E96&lt;&gt;"",F96&lt;&gt;"",G96&lt;&gt;"",I96&lt;&gt;"",L96&lt;&gt;""),'Admin Sheet'!$B$44,"")</f>
        <v/>
      </c>
      <c r="V96" s="818"/>
      <c r="W96" s="444"/>
    </row>
    <row r="97" spans="1:23" ht="26.25" hidden="1" customHeight="1" x14ac:dyDescent="0.2">
      <c r="A97" s="1309"/>
      <c r="B97" s="1310"/>
      <c r="C97" s="1310"/>
      <c r="D97" s="1310"/>
      <c r="E97" s="1310"/>
      <c r="F97" s="1310"/>
      <c r="G97" s="1310"/>
      <c r="H97" s="1311">
        <f t="shared" si="4"/>
        <v>0</v>
      </c>
      <c r="I97" s="1310"/>
      <c r="J97" s="1311">
        <f t="shared" si="5"/>
        <v>0</v>
      </c>
      <c r="K97" s="1312"/>
      <c r="L97" s="1313"/>
      <c r="M97" s="1314">
        <f t="shared" si="6"/>
        <v>0</v>
      </c>
      <c r="N97" s="543"/>
      <c r="O97" s="1315"/>
      <c r="P97" s="1316">
        <f t="shared" si="0"/>
        <v>0</v>
      </c>
      <c r="Q97" s="1317"/>
      <c r="R97" s="827"/>
      <c r="S97" s="828"/>
      <c r="T97" s="1318"/>
      <c r="U97" s="829" t="str">
        <f>IF(OR(A97&lt;&gt;"",B97&lt;&gt;"",C97&lt;&gt;"",D97&lt;&gt;"",E97&lt;&gt;"",F97&lt;&gt;"",G97&lt;&gt;"",I97&lt;&gt;"",L97&lt;&gt;""),'Admin Sheet'!$B$44,"")</f>
        <v/>
      </c>
      <c r="V97" s="818"/>
      <c r="W97" s="444"/>
    </row>
    <row r="98" spans="1:23" ht="26.25" hidden="1" customHeight="1" x14ac:dyDescent="0.2">
      <c r="A98" s="1309"/>
      <c r="B98" s="1310"/>
      <c r="C98" s="1310"/>
      <c r="D98" s="1310"/>
      <c r="E98" s="1310"/>
      <c r="F98" s="1310"/>
      <c r="G98" s="1310"/>
      <c r="H98" s="1311">
        <f t="shared" si="4"/>
        <v>0</v>
      </c>
      <c r="I98" s="1310"/>
      <c r="J98" s="1311">
        <f t="shared" si="5"/>
        <v>0</v>
      </c>
      <c r="K98" s="1312"/>
      <c r="L98" s="1313"/>
      <c r="M98" s="1314">
        <f t="shared" si="6"/>
        <v>0</v>
      </c>
      <c r="N98" s="543"/>
      <c r="O98" s="1315"/>
      <c r="P98" s="1316">
        <f t="shared" si="0"/>
        <v>0</v>
      </c>
      <c r="Q98" s="1317"/>
      <c r="R98" s="827"/>
      <c r="S98" s="828"/>
      <c r="T98" s="1318"/>
      <c r="U98" s="829" t="str">
        <f>IF(OR(A98&lt;&gt;"",B98&lt;&gt;"",C98&lt;&gt;"",D98&lt;&gt;"",E98&lt;&gt;"",F98&lt;&gt;"",G98&lt;&gt;"",I98&lt;&gt;"",L98&lt;&gt;""),'Admin Sheet'!$B$44,"")</f>
        <v/>
      </c>
      <c r="V98" s="818"/>
      <c r="W98" s="444"/>
    </row>
    <row r="99" spans="1:23" ht="26.25" hidden="1" customHeight="1" x14ac:dyDescent="0.2">
      <c r="A99" s="1309"/>
      <c r="B99" s="1310"/>
      <c r="C99" s="1310"/>
      <c r="D99" s="1310"/>
      <c r="E99" s="1310"/>
      <c r="F99" s="1310"/>
      <c r="G99" s="1310"/>
      <c r="H99" s="1311">
        <f t="shared" si="4"/>
        <v>0</v>
      </c>
      <c r="I99" s="1310"/>
      <c r="J99" s="1311">
        <f t="shared" si="5"/>
        <v>0</v>
      </c>
      <c r="K99" s="1312"/>
      <c r="L99" s="1313"/>
      <c r="M99" s="1314">
        <f t="shared" si="6"/>
        <v>0</v>
      </c>
      <c r="N99" s="543"/>
      <c r="O99" s="1315"/>
      <c r="P99" s="1316">
        <f t="shared" si="0"/>
        <v>0</v>
      </c>
      <c r="Q99" s="1317"/>
      <c r="R99" s="827"/>
      <c r="S99" s="828"/>
      <c r="T99" s="1318"/>
      <c r="U99" s="829" t="str">
        <f>IF(OR(A99&lt;&gt;"",B99&lt;&gt;"",C99&lt;&gt;"",D99&lt;&gt;"",E99&lt;&gt;"",F99&lt;&gt;"",G99&lt;&gt;"",I99&lt;&gt;"",L99&lt;&gt;""),'Admin Sheet'!$B$44,"")</f>
        <v/>
      </c>
      <c r="V99" s="818"/>
      <c r="W99" s="444"/>
    </row>
    <row r="100" spans="1:23" ht="26.25" hidden="1" customHeight="1" x14ac:dyDescent="0.2">
      <c r="A100" s="1309"/>
      <c r="B100" s="1310"/>
      <c r="C100" s="1310"/>
      <c r="D100" s="1310"/>
      <c r="E100" s="1310"/>
      <c r="F100" s="1310"/>
      <c r="G100" s="1310"/>
      <c r="H100" s="1311">
        <f t="shared" si="4"/>
        <v>0</v>
      </c>
      <c r="I100" s="1310"/>
      <c r="J100" s="1311">
        <f t="shared" si="5"/>
        <v>0</v>
      </c>
      <c r="K100" s="1312"/>
      <c r="L100" s="1313"/>
      <c r="M100" s="1314">
        <f t="shared" si="6"/>
        <v>0</v>
      </c>
      <c r="N100" s="543"/>
      <c r="O100" s="1315"/>
      <c r="P100" s="1316">
        <f t="shared" si="0"/>
        <v>0</v>
      </c>
      <c r="Q100" s="1317"/>
      <c r="R100" s="827"/>
      <c r="S100" s="828"/>
      <c r="T100" s="1318"/>
      <c r="U100" s="829" t="str">
        <f>IF(OR(A100&lt;&gt;"",B100&lt;&gt;"",C100&lt;&gt;"",D100&lt;&gt;"",E100&lt;&gt;"",F100&lt;&gt;"",G100&lt;&gt;"",I100&lt;&gt;"",L100&lt;&gt;""),'Admin Sheet'!$B$44,"")</f>
        <v/>
      </c>
      <c r="V100" s="818"/>
      <c r="W100" s="444"/>
    </row>
    <row r="101" spans="1:23" ht="26.25" hidden="1" customHeight="1" x14ac:dyDescent="0.2">
      <c r="A101" s="1309"/>
      <c r="B101" s="1310"/>
      <c r="C101" s="1310"/>
      <c r="D101" s="1310"/>
      <c r="E101" s="1310"/>
      <c r="F101" s="1310"/>
      <c r="G101" s="1310"/>
      <c r="H101" s="1311">
        <f t="shared" si="4"/>
        <v>0</v>
      </c>
      <c r="I101" s="1310"/>
      <c r="J101" s="1311">
        <f t="shared" si="5"/>
        <v>0</v>
      </c>
      <c r="K101" s="1312"/>
      <c r="L101" s="1313"/>
      <c r="M101" s="1314">
        <f t="shared" si="6"/>
        <v>0</v>
      </c>
      <c r="N101" s="543"/>
      <c r="O101" s="1315"/>
      <c r="P101" s="1316">
        <f t="shared" si="0"/>
        <v>0</v>
      </c>
      <c r="Q101" s="1317"/>
      <c r="R101" s="827"/>
      <c r="S101" s="828"/>
      <c r="T101" s="1318"/>
      <c r="U101" s="829" t="str">
        <f>IF(OR(A101&lt;&gt;"",B101&lt;&gt;"",C101&lt;&gt;"",D101&lt;&gt;"",E101&lt;&gt;"",F101&lt;&gt;"",G101&lt;&gt;"",I101&lt;&gt;"",L101&lt;&gt;""),'Admin Sheet'!$B$44,"")</f>
        <v/>
      </c>
      <c r="V101" s="818"/>
      <c r="W101" s="444"/>
    </row>
    <row r="102" spans="1:23" ht="26.25" hidden="1" customHeight="1" x14ac:dyDescent="0.2">
      <c r="A102" s="1309"/>
      <c r="B102" s="1310"/>
      <c r="C102" s="1310"/>
      <c r="D102" s="1310"/>
      <c r="E102" s="1310"/>
      <c r="F102" s="1310"/>
      <c r="G102" s="1310"/>
      <c r="H102" s="1311">
        <f t="shared" si="4"/>
        <v>0</v>
      </c>
      <c r="I102" s="1310"/>
      <c r="J102" s="1311">
        <f t="shared" si="5"/>
        <v>0</v>
      </c>
      <c r="K102" s="1312"/>
      <c r="L102" s="1313"/>
      <c r="M102" s="1314">
        <f t="shared" si="6"/>
        <v>0</v>
      </c>
      <c r="N102" s="543"/>
      <c r="O102" s="1315"/>
      <c r="P102" s="1316">
        <f t="shared" si="0"/>
        <v>0</v>
      </c>
      <c r="Q102" s="1317"/>
      <c r="R102" s="827"/>
      <c r="S102" s="828"/>
      <c r="T102" s="1318"/>
      <c r="U102" s="829" t="str">
        <f>IF(OR(A102&lt;&gt;"",B102&lt;&gt;"",C102&lt;&gt;"",D102&lt;&gt;"",E102&lt;&gt;"",F102&lt;&gt;"",G102&lt;&gt;"",I102&lt;&gt;"",L102&lt;&gt;""),'Admin Sheet'!$B$44,"")</f>
        <v/>
      </c>
      <c r="V102" s="818"/>
      <c r="W102" s="444"/>
    </row>
    <row r="103" spans="1:23" ht="26.25" hidden="1" customHeight="1" x14ac:dyDescent="0.2">
      <c r="A103" s="1309"/>
      <c r="B103" s="1310"/>
      <c r="C103" s="1310"/>
      <c r="D103" s="1310"/>
      <c r="E103" s="1310"/>
      <c r="F103" s="1310"/>
      <c r="G103" s="1310"/>
      <c r="H103" s="1311">
        <f t="shared" si="4"/>
        <v>0</v>
      </c>
      <c r="I103" s="1310"/>
      <c r="J103" s="1311">
        <f t="shared" si="5"/>
        <v>0</v>
      </c>
      <c r="K103" s="1312"/>
      <c r="L103" s="1313"/>
      <c r="M103" s="1314">
        <f t="shared" si="6"/>
        <v>0</v>
      </c>
      <c r="N103" s="543"/>
      <c r="O103" s="1315"/>
      <c r="P103" s="1316">
        <f t="shared" si="0"/>
        <v>0</v>
      </c>
      <c r="Q103" s="1317"/>
      <c r="R103" s="827"/>
      <c r="S103" s="828"/>
      <c r="T103" s="1318"/>
      <c r="U103" s="829" t="str">
        <f>IF(OR(A103&lt;&gt;"",B103&lt;&gt;"",C103&lt;&gt;"",D103&lt;&gt;"",E103&lt;&gt;"",F103&lt;&gt;"",G103&lt;&gt;"",I103&lt;&gt;"",L103&lt;&gt;""),'Admin Sheet'!$B$44,"")</f>
        <v/>
      </c>
      <c r="V103" s="818"/>
      <c r="W103" s="444"/>
    </row>
    <row r="104" spans="1:23" ht="26.25" hidden="1" customHeight="1" x14ac:dyDescent="0.2">
      <c r="A104" s="1309"/>
      <c r="B104" s="1310"/>
      <c r="C104" s="1310"/>
      <c r="D104" s="1310"/>
      <c r="E104" s="1310"/>
      <c r="F104" s="1310"/>
      <c r="G104" s="1310"/>
      <c r="H104" s="1311">
        <f t="shared" si="4"/>
        <v>0</v>
      </c>
      <c r="I104" s="1310"/>
      <c r="J104" s="1311">
        <f t="shared" si="5"/>
        <v>0</v>
      </c>
      <c r="K104" s="1312"/>
      <c r="L104" s="1313"/>
      <c r="M104" s="1314">
        <f t="shared" si="6"/>
        <v>0</v>
      </c>
      <c r="N104" s="543"/>
      <c r="O104" s="1315"/>
      <c r="P104" s="1316">
        <f t="shared" si="0"/>
        <v>0</v>
      </c>
      <c r="Q104" s="1317"/>
      <c r="R104" s="827"/>
      <c r="S104" s="828"/>
      <c r="T104" s="1318"/>
      <c r="U104" s="829" t="str">
        <f>IF(OR(A104&lt;&gt;"",B104&lt;&gt;"",C104&lt;&gt;"",D104&lt;&gt;"",E104&lt;&gt;"",F104&lt;&gt;"",G104&lt;&gt;"",I104&lt;&gt;"",L104&lt;&gt;""),'Admin Sheet'!$B$44,"")</f>
        <v/>
      </c>
      <c r="V104" s="818"/>
      <c r="W104" s="444"/>
    </row>
    <row r="105" spans="1:23" ht="26.25" hidden="1" customHeight="1" x14ac:dyDescent="0.2">
      <c r="A105" s="1309"/>
      <c r="B105" s="1310"/>
      <c r="C105" s="1310"/>
      <c r="D105" s="1310"/>
      <c r="E105" s="1310"/>
      <c r="F105" s="1310"/>
      <c r="G105" s="1310"/>
      <c r="H105" s="1311">
        <f t="shared" si="4"/>
        <v>0</v>
      </c>
      <c r="I105" s="1310"/>
      <c r="J105" s="1311">
        <f t="shared" si="5"/>
        <v>0</v>
      </c>
      <c r="K105" s="1312"/>
      <c r="L105" s="1313"/>
      <c r="M105" s="1314">
        <f t="shared" si="6"/>
        <v>0</v>
      </c>
      <c r="N105" s="543"/>
      <c r="O105" s="1315"/>
      <c r="P105" s="1316">
        <f t="shared" si="0"/>
        <v>0</v>
      </c>
      <c r="Q105" s="1317"/>
      <c r="R105" s="827"/>
      <c r="S105" s="828"/>
      <c r="T105" s="1318"/>
      <c r="U105" s="829" t="str">
        <f>IF(OR(A105&lt;&gt;"",B105&lt;&gt;"",C105&lt;&gt;"",D105&lt;&gt;"",E105&lt;&gt;"",F105&lt;&gt;"",G105&lt;&gt;"",I105&lt;&gt;"",L105&lt;&gt;""),'Admin Sheet'!$B$44,"")</f>
        <v/>
      </c>
      <c r="V105" s="818"/>
      <c r="W105" s="444"/>
    </row>
    <row r="106" spans="1:23" ht="26.25" hidden="1" customHeight="1" x14ac:dyDescent="0.2">
      <c r="A106" s="1309"/>
      <c r="B106" s="1310"/>
      <c r="C106" s="1310"/>
      <c r="D106" s="1310"/>
      <c r="E106" s="1310"/>
      <c r="F106" s="1310"/>
      <c r="G106" s="1310"/>
      <c r="H106" s="1311">
        <f t="shared" si="4"/>
        <v>0</v>
      </c>
      <c r="I106" s="1310"/>
      <c r="J106" s="1311">
        <f t="shared" si="5"/>
        <v>0</v>
      </c>
      <c r="K106" s="1312"/>
      <c r="L106" s="1313"/>
      <c r="M106" s="1314">
        <f t="shared" si="6"/>
        <v>0</v>
      </c>
      <c r="N106" s="543"/>
      <c r="O106" s="1315"/>
      <c r="P106" s="1316">
        <f t="shared" si="0"/>
        <v>0</v>
      </c>
      <c r="Q106" s="1317"/>
      <c r="R106" s="827"/>
      <c r="S106" s="828"/>
      <c r="T106" s="1318"/>
      <c r="U106" s="829" t="str">
        <f>IF(OR(A106&lt;&gt;"",B106&lt;&gt;"",C106&lt;&gt;"",D106&lt;&gt;"",E106&lt;&gt;"",F106&lt;&gt;"",G106&lt;&gt;"",I106&lt;&gt;"",L106&lt;&gt;""),'Admin Sheet'!$B$44,"")</f>
        <v/>
      </c>
      <c r="V106" s="818"/>
      <c r="W106" s="444"/>
    </row>
    <row r="107" spans="1:23" ht="26.25" hidden="1" customHeight="1" x14ac:dyDescent="0.2">
      <c r="A107" s="1309"/>
      <c r="B107" s="1310"/>
      <c r="C107" s="1310"/>
      <c r="D107" s="1310"/>
      <c r="E107" s="1310"/>
      <c r="F107" s="1310"/>
      <c r="G107" s="1310"/>
      <c r="H107" s="1311">
        <f t="shared" si="4"/>
        <v>0</v>
      </c>
      <c r="I107" s="1310"/>
      <c r="J107" s="1311">
        <f t="shared" si="5"/>
        <v>0</v>
      </c>
      <c r="K107" s="1312"/>
      <c r="L107" s="1313"/>
      <c r="M107" s="1314">
        <f t="shared" si="6"/>
        <v>0</v>
      </c>
      <c r="N107" s="543"/>
      <c r="O107" s="1315"/>
      <c r="P107" s="1316">
        <f t="shared" si="0"/>
        <v>0</v>
      </c>
      <c r="Q107" s="1317"/>
      <c r="R107" s="827"/>
      <c r="S107" s="828"/>
      <c r="T107" s="1318"/>
      <c r="U107" s="829" t="str">
        <f>IF(OR(A107&lt;&gt;"",B107&lt;&gt;"",C107&lt;&gt;"",D107&lt;&gt;"",E107&lt;&gt;"",F107&lt;&gt;"",G107&lt;&gt;"",I107&lt;&gt;"",L107&lt;&gt;""),'Admin Sheet'!$B$44,"")</f>
        <v/>
      </c>
      <c r="V107" s="818"/>
      <c r="W107" s="444"/>
    </row>
    <row r="108" spans="1:23" ht="26.25" hidden="1" customHeight="1" x14ac:dyDescent="0.2">
      <c r="A108" s="1309"/>
      <c r="B108" s="1310"/>
      <c r="C108" s="1310"/>
      <c r="D108" s="1310"/>
      <c r="E108" s="1310"/>
      <c r="F108" s="1310"/>
      <c r="G108" s="1310"/>
      <c r="H108" s="1311">
        <f t="shared" si="4"/>
        <v>0</v>
      </c>
      <c r="I108" s="1310"/>
      <c r="J108" s="1311">
        <f t="shared" si="5"/>
        <v>0</v>
      </c>
      <c r="K108" s="1312"/>
      <c r="L108" s="1313"/>
      <c r="M108" s="1314">
        <f t="shared" si="6"/>
        <v>0</v>
      </c>
      <c r="N108" s="543"/>
      <c r="O108" s="1315"/>
      <c r="P108" s="1316">
        <f t="shared" si="0"/>
        <v>0</v>
      </c>
      <c r="Q108" s="1317"/>
      <c r="R108" s="827"/>
      <c r="S108" s="828"/>
      <c r="T108" s="1318"/>
      <c r="U108" s="829" t="str">
        <f>IF(OR(A108&lt;&gt;"",B108&lt;&gt;"",C108&lt;&gt;"",D108&lt;&gt;"",E108&lt;&gt;"",F108&lt;&gt;"",G108&lt;&gt;"",I108&lt;&gt;"",L108&lt;&gt;""),'Admin Sheet'!$B$44,"")</f>
        <v/>
      </c>
      <c r="V108" s="818"/>
      <c r="W108" s="444"/>
    </row>
    <row r="109" spans="1:23" ht="26.25" hidden="1" customHeight="1" x14ac:dyDescent="0.2">
      <c r="A109" s="1309"/>
      <c r="B109" s="1310"/>
      <c r="C109" s="1310"/>
      <c r="D109" s="1310"/>
      <c r="E109" s="1310"/>
      <c r="F109" s="1310"/>
      <c r="G109" s="1310"/>
      <c r="H109" s="1311">
        <f t="shared" si="4"/>
        <v>0</v>
      </c>
      <c r="I109" s="1310"/>
      <c r="J109" s="1311">
        <f t="shared" si="5"/>
        <v>0</v>
      </c>
      <c r="K109" s="1312"/>
      <c r="L109" s="1313"/>
      <c r="M109" s="1314">
        <f t="shared" si="6"/>
        <v>0</v>
      </c>
      <c r="N109" s="543"/>
      <c r="O109" s="1315"/>
      <c r="P109" s="1316">
        <f t="shared" si="0"/>
        <v>0</v>
      </c>
      <c r="Q109" s="1317"/>
      <c r="R109" s="827"/>
      <c r="S109" s="828"/>
      <c r="T109" s="1318"/>
      <c r="U109" s="829" t="str">
        <f>IF(OR(A109&lt;&gt;"",B109&lt;&gt;"",C109&lt;&gt;"",D109&lt;&gt;"",E109&lt;&gt;"",F109&lt;&gt;"",G109&lt;&gt;"",I109&lt;&gt;"",L109&lt;&gt;""),'Admin Sheet'!$B$44,"")</f>
        <v/>
      </c>
      <c r="V109" s="818"/>
      <c r="W109" s="444"/>
    </row>
    <row r="110" spans="1:23" ht="20.25" customHeight="1" x14ac:dyDescent="0.2">
      <c r="A110" s="810"/>
      <c r="B110" s="807"/>
      <c r="C110" s="807"/>
      <c r="D110" s="807"/>
      <c r="E110" s="807"/>
      <c r="F110" s="807"/>
      <c r="G110" s="807"/>
      <c r="H110" s="807"/>
      <c r="I110" s="807"/>
      <c r="J110" s="1368"/>
      <c r="K110" s="935"/>
      <c r="L110" s="807"/>
      <c r="M110" s="807"/>
      <c r="N110" s="935"/>
      <c r="O110" s="804"/>
      <c r="P110" s="805">
        <f t="shared" si="0"/>
        <v>0</v>
      </c>
      <c r="Q110" s="806"/>
      <c r="R110" s="98"/>
      <c r="S110" s="808"/>
      <c r="T110" s="818"/>
      <c r="U110" s="818"/>
      <c r="V110" s="818"/>
      <c r="W110" s="444"/>
    </row>
    <row r="111" spans="1:23" ht="46.5" customHeight="1" x14ac:dyDescent="0.2">
      <c r="A111" s="811" t="s">
        <v>94</v>
      </c>
      <c r="B111" s="968">
        <f t="shared" ref="B111:J111" si="7">SUM(B9:B110)</f>
        <v>3612073.2199999997</v>
      </c>
      <c r="C111" s="968">
        <f t="shared" si="7"/>
        <v>211802.76</v>
      </c>
      <c r="D111" s="968">
        <f t="shared" si="7"/>
        <v>1989936.8199999998</v>
      </c>
      <c r="E111" s="968">
        <f t="shared" si="7"/>
        <v>24.18</v>
      </c>
      <c r="F111" s="968">
        <f t="shared" si="7"/>
        <v>1838092.7100000002</v>
      </c>
      <c r="G111" s="1359">
        <f t="shared" si="7"/>
        <v>229696.97</v>
      </c>
      <c r="H111" s="968">
        <f t="shared" si="7"/>
        <v>133974.08000000005</v>
      </c>
      <c r="I111" s="1359">
        <f t="shared" si="7"/>
        <v>133974.06</v>
      </c>
      <c r="J111" s="1359">
        <f t="shared" si="7"/>
        <v>-2.000000004170488E-2</v>
      </c>
      <c r="K111" s="1312" t="s">
        <v>1612</v>
      </c>
      <c r="L111" s="967">
        <f>SUM(L9:L110)</f>
        <v>0</v>
      </c>
      <c r="M111" s="967">
        <f>H111+L111</f>
        <v>133974.08000000005</v>
      </c>
      <c r="N111" s="933"/>
      <c r="O111" s="804"/>
      <c r="P111" s="805">
        <f t="shared" si="0"/>
        <v>133974.08000000005</v>
      </c>
      <c r="Q111" s="806"/>
      <c r="R111" s="98"/>
      <c r="S111" s="808"/>
      <c r="T111" s="818"/>
      <c r="U111" s="818"/>
      <c r="V111" s="818"/>
      <c r="W111" s="444"/>
    </row>
    <row r="112" spans="1:23" ht="3" customHeight="1" thickBot="1" x14ac:dyDescent="0.25">
      <c r="A112" s="812"/>
      <c r="B112" s="426"/>
      <c r="C112" s="426"/>
      <c r="D112" s="426"/>
      <c r="E112" s="426"/>
      <c r="F112" s="426"/>
      <c r="G112" s="426"/>
      <c r="H112" s="426"/>
      <c r="I112" s="426"/>
      <c r="J112" s="1369"/>
      <c r="K112" s="426"/>
      <c r="L112" s="426"/>
      <c r="M112" s="426"/>
      <c r="N112" s="426"/>
      <c r="O112" s="813"/>
      <c r="P112" s="814"/>
      <c r="Q112" s="815"/>
      <c r="R112" s="446"/>
      <c r="S112" s="446"/>
      <c r="T112" s="446"/>
      <c r="U112" s="446"/>
      <c r="V112" s="446"/>
      <c r="W112" s="816"/>
    </row>
    <row r="113" spans="1:17" ht="18.75" customHeight="1" x14ac:dyDescent="0.2">
      <c r="A113" s="117"/>
      <c r="B113" s="117"/>
      <c r="C113" s="233"/>
      <c r="D113" s="233"/>
      <c r="E113" s="233"/>
      <c r="F113" s="233"/>
      <c r="G113" s="233"/>
      <c r="H113" s="233"/>
      <c r="I113" s="233"/>
      <c r="J113" s="1370"/>
      <c r="K113" s="117"/>
      <c r="L113" s="117"/>
      <c r="M113" s="117"/>
      <c r="N113" s="117"/>
      <c r="O113" s="117"/>
      <c r="P113" s="117"/>
      <c r="Q113" s="117"/>
    </row>
    <row r="114" spans="1:17" ht="46.5" customHeight="1" x14ac:dyDescent="0.2">
      <c r="A114" s="234" t="s">
        <v>82</v>
      </c>
      <c r="B114" s="234"/>
      <c r="C114" s="233"/>
      <c r="D114" s="233"/>
      <c r="E114" s="233"/>
      <c r="F114" s="233"/>
      <c r="G114" s="233"/>
      <c r="H114" s="233"/>
      <c r="I114" s="233"/>
      <c r="J114" s="1370"/>
      <c r="K114" s="117"/>
      <c r="L114" s="117"/>
      <c r="M114" s="117"/>
      <c r="N114" s="117"/>
      <c r="O114" s="117"/>
      <c r="P114" s="117"/>
      <c r="Q114" s="117"/>
    </row>
    <row r="115" spans="1:17" ht="15" x14ac:dyDescent="0.2">
      <c r="A115" s="117"/>
      <c r="B115" s="117"/>
      <c r="C115" s="233"/>
      <c r="D115" s="233"/>
      <c r="E115" s="233"/>
      <c r="F115" s="233"/>
      <c r="G115" s="233"/>
      <c r="H115" s="233"/>
      <c r="I115" s="233"/>
      <c r="J115" s="1370"/>
      <c r="K115" s="117"/>
      <c r="L115" s="117"/>
      <c r="M115" s="117"/>
      <c r="N115" s="117"/>
      <c r="O115" s="117"/>
      <c r="P115" s="117"/>
      <c r="Q115" s="117"/>
    </row>
  </sheetData>
  <sheetProtection algorithmName="SHA-512" hashValue="c5/ilfmkwLgpSuEQJ/2gQPB81oAPfkrcgkXzLVLslIEDa23Z0xM2U0iqQxaXhiZSSgGYkukODb5qqYXCgA3ZYA==" saltValue="yo/cbxDnfDn/RM29v3UrBQ==" spinCount="100000" sheet="1" objects="1" scenarios="1" formatCells="0" sort="0" autoFilter="0"/>
  <autoFilter ref="A8:U109">
    <filterColumn colId="0">
      <filters>
        <filter val="SR 1 - NASTA - M1I1S1"/>
        <filter val="SR 2 - CPSS - M1I2S2"/>
        <filter val="SR 3 - UNOPA - M1I2S3"/>
        <filter val="SR 4 - ARAS - M1I2S4"/>
        <filter val="SR 5 - SC - M1I2S5"/>
        <filter val="SR 6 - UNOPA - M1I2S6"/>
        <filter val="SR 7 - NASTA - M2I3S7 + SR 9 -  NASTA - M3I4S9"/>
      </filters>
    </filterColumn>
  </autoFilter>
  <mergeCells count="7">
    <mergeCell ref="A5:Q5"/>
    <mergeCell ref="A7:K7"/>
    <mergeCell ref="L7:N7"/>
    <mergeCell ref="O7:Q7"/>
    <mergeCell ref="A2:B3"/>
    <mergeCell ref="C2:D2"/>
    <mergeCell ref="C3:D3"/>
  </mergeCells>
  <dataValidations count="9">
    <dataValidation type="decimal" allowBlank="1" showInputMessage="1" showErrorMessage="1" errorTitle="X-Author for Excel" error="Please enter a valid numeric value. Valid range for Cumulative SR exp. for prior periods is -9999999999.99 to 9999999999.99." promptTitle="X-Author for Excel" sqref="B9:B109">
      <formula1>-9999999999.99</formula1>
      <formula2>9999999999.99</formula2>
    </dataValidation>
    <dataValidation type="decimal" allowBlank="1" showInputMessage="1" showErrorMessage="1" errorTitle="X-Author for Excel" error="Please enter a valid numeric value. Valid range for SR Open Advances at PR Level is -9999999999.99 to 9999999999.99." promptTitle="X-Author for Excel" sqref="C9:C109">
      <formula1>-9999999999.99</formula1>
      <formula2>9999999999.99</formula2>
    </dataValidation>
    <dataValidation type="decimal" allowBlank="1" showInputMessage="1" showErrorMessage="1" errorTitle="X-Author for Excel" error="Please enter a valid numeric value. Valid range for PR Disbursements for Rep. Period is -9999999999.99 to 9999999999.99." promptTitle="X-Author for Excel" sqref="D9:D109">
      <formula1>-9999999999.99</formula1>
      <formula2>9999999999.99</formula2>
    </dataValidation>
    <dataValidation type="decimal" allowBlank="1" showInputMessage="1" showErrorMessage="1" errorTitle="X-Author for Excel" error="Please enter a valid numeric value. Valid range for Other Income during Rep. Period is -9999999999.99 to 9999999999.99." promptTitle="X-Author for Excel" sqref="E9:E109">
      <formula1>-9999999999.99</formula1>
      <formula2>9999999999.99</formula2>
    </dataValidation>
    <dataValidation type="decimal" allowBlank="1" showInputMessage="1" showErrorMessage="1" errorTitle="X-Author for Excel" error="Please enter a valid numeric value. Valid range for PR validated exp. during Rep. Period is -9999999999.99 to 9999999999.99." promptTitle="X-Author for Excel" sqref="F9:F109">
      <formula1>-9999999999.99</formula1>
      <formula2>9999999999.99</formula2>
    </dataValidation>
    <dataValidation type="decimal" allowBlank="1" showInputMessage="1" showErrorMessage="1" errorTitle="X-Author for Excel" error="Please enter a valid numeric value. Valid range for Refunds received from SR is -9999999999.99 to 9999999999.99." promptTitle="X-Author for Excel" sqref="G9:G109">
      <formula1>-9999999999.99</formula1>
      <formula2>9999999999.99</formula2>
    </dataValidation>
    <dataValidation type="decimal" allowBlank="1" showInputMessage="1" showErrorMessage="1" errorTitle="X-Author for Excel" error="Please enter a valid numeric value. Valid range for Actual SR Cash Balance is -9999999999.99 to 9999999999.99." promptTitle="X-Author for Excel" sqref="I9:I109">
      <formula1>-9999999999.99</formula1>
      <formula2>9999999999.99</formula2>
    </dataValidation>
    <dataValidation type="decimal" allowBlank="1" showInputMessage="1" showErrorMessage="1" errorTitle="X-Author for Excel" error="Please enter a valid numeric value. Valid range for LFA Adjustments is -9999999999.99 to 9999999999.99." promptTitle="X-Author for Excel" sqref="L9:L109">
      <formula1>-9999999999.99</formula1>
      <formula2>9999999999.99</formula2>
    </dataValidation>
    <dataValidation type="custom" allowBlank="1" showInputMessage="1" showErrorMessage="1" errorTitle="X-Author for Excel" error="Id and Lookup fields are not editable." promptTitle="X-Author for Excel" sqref="T9:U109">
      <formula1>""</formula1>
    </dataValidation>
  </dataValidations>
  <printOptions horizontalCentered="1" verticalCentered="1"/>
  <pageMargins left="0.11811023622047245" right="0.11811023622047245" top="0.35433070866141736" bottom="0.15748031496062992" header="0.31496062992125984" footer="0.31496062992125984"/>
  <pageSetup paperSize="8" scale="57" orientation="landscape" r:id="rId1"/>
  <headerFooter>
    <oddFooter>&amp;L&amp;A&amp;R&amp;P</oddFooter>
  </headerFooter>
  <extLst>
    <ext xmlns:x14="http://schemas.microsoft.com/office/spreadsheetml/2009/9/main" uri="{78C0D931-6437-407d-A8EE-F0AAD7539E65}">
      <x14:conditionalFormattings>
        <x14:conditionalFormatting xmlns:xm="http://schemas.microsoft.com/office/excel/2006/main">
          <x14:cfRule type="expression" priority="4" id="{B163D229-3A40-4995-AB8F-75AE0FACBF05}">
            <xm:f>CoverSheet!$D$11="EUR"</xm:f>
            <x14:dxf>
              <numFmt numFmtId="184" formatCode="[$€-2]\ #,##0;[Red]\-[$€-2]\ #,##0"/>
            </x14:dxf>
          </x14:cfRule>
          <xm:sqref>L111:M111 B111:J111 I9:J109 L9:M109 O9:P112 B9:G109</xm:sqref>
        </x14:conditionalFormatting>
        <x14:conditionalFormatting xmlns:xm="http://schemas.microsoft.com/office/excel/2006/main">
          <x14:cfRule type="expression" priority="3" id="{16EABDDC-DED9-4293-A9AC-2B9795442C1C}">
            <xm:f>CoverSheet!$D$11="EUR"</xm:f>
            <x14:dxf>
              <numFmt numFmtId="184" formatCode="[$€-2]\ #,##0;[Red]\-[$€-2]\ #,##0"/>
            </x14:dxf>
          </x14:cfRule>
          <xm:sqref>H9:H109</xm:sqref>
        </x14:conditionalFormatting>
        <x14:conditionalFormatting xmlns:xm="http://schemas.microsoft.com/office/excel/2006/main">
          <x14:cfRule type="expression" priority="1" id="{A9E07DBF-6548-4ED0-93D8-65D4912EF0D3}">
            <xm:f>CoverSheet!$D$11="EUR"</xm:f>
            <x14:dxf>
              <numFmt numFmtId="184" formatCode="[$€-2]\ #,##0;[Red]\-[$€-2]\ #,##0"/>
            </x14:dxf>
          </x14:cfRule>
          <xm:sqref>K10:K16</xm:sqref>
        </x14:conditionalFormatting>
      </x14:conditionalFormatting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5">
    <tabColor rgb="FFFFFF00"/>
  </sheetPr>
  <dimension ref="A1:O31"/>
  <sheetViews>
    <sheetView showGridLines="0" view="pageBreakPreview" topLeftCell="C13" zoomScale="70" zoomScaleNormal="50" zoomScaleSheetLayoutView="70" workbookViewId="0">
      <selection activeCell="H10" sqref="H10:I10"/>
    </sheetView>
  </sheetViews>
  <sheetFormatPr defaultColWidth="9.140625" defaultRowHeight="12.75" x14ac:dyDescent="0.2"/>
  <cols>
    <col min="1" max="1" width="2.85546875" style="94" customWidth="1"/>
    <col min="2" max="2" width="57.85546875" style="94" bestFit="1" customWidth="1"/>
    <col min="3" max="3" width="7.140625" style="94" customWidth="1"/>
    <col min="4" max="4" width="32.140625" style="94" customWidth="1"/>
    <col min="5" max="5" width="31" style="94" customWidth="1"/>
    <col min="6" max="6" width="24.42578125" style="94" customWidth="1"/>
    <col min="7" max="7" width="25.140625" style="94" customWidth="1"/>
    <col min="8" max="8" width="36.140625" style="94" bestFit="1" customWidth="1"/>
    <col min="9" max="9" width="23.140625" style="94" customWidth="1"/>
    <col min="10" max="10" width="29.42578125" style="94" customWidth="1"/>
    <col min="11" max="11" width="27.42578125" style="94" customWidth="1"/>
    <col min="12" max="12" width="25.42578125" style="94" customWidth="1"/>
    <col min="13" max="13" width="27" style="94" customWidth="1"/>
    <col min="14" max="14" width="65.42578125" style="94" customWidth="1"/>
    <col min="15" max="16384" width="9.140625" style="94"/>
  </cols>
  <sheetData>
    <row r="1" spans="1:15" s="134" customFormat="1" ht="51.75" customHeight="1" thickBot="1" x14ac:dyDescent="0.65">
      <c r="A1" s="129" t="str">
        <f>IF(CoverSheet!J12="N/A","Progress Report","Progress Report with Disbursement Request")</f>
        <v>Progress Report with Disbursement Request</v>
      </c>
      <c r="B1" s="244"/>
      <c r="C1" s="129"/>
      <c r="D1" s="129"/>
      <c r="E1" s="129"/>
      <c r="F1" s="129"/>
      <c r="G1" s="129"/>
      <c r="H1" s="144"/>
      <c r="I1" s="144"/>
      <c r="J1" s="118"/>
      <c r="K1" s="118"/>
      <c r="L1" s="118"/>
    </row>
    <row r="2" spans="1:15" s="179" customFormat="1" ht="40.5" customHeight="1" x14ac:dyDescent="0.2">
      <c r="A2" s="1514" t="s">
        <v>162</v>
      </c>
      <c r="B2" s="1515"/>
      <c r="C2" s="1515"/>
      <c r="D2" s="1516"/>
      <c r="E2" s="1512" t="str">
        <f>CoverSheet!F9</f>
        <v>Period of Financial Reporting</v>
      </c>
      <c r="F2" s="1512"/>
      <c r="G2" s="843" t="str">
        <f>CoverSheet!I9</f>
        <v>Beginning Date:</v>
      </c>
      <c r="H2" s="844">
        <f>IF(CoverSheet!J9="","N/A",CoverSheet!J9)</f>
        <v>42736</v>
      </c>
      <c r="I2" s="843" t="str">
        <f>CoverSheet!K9</f>
        <v>End Date:</v>
      </c>
      <c r="J2" s="845">
        <f>IF(CoverSheet!L9="","N/A",CoverSheet!L9)</f>
        <v>43100</v>
      </c>
      <c r="K2" s="890"/>
      <c r="L2" s="890"/>
      <c r="M2" s="890"/>
      <c r="N2" s="891"/>
    </row>
    <row r="3" spans="1:15" s="120" customFormat="1" ht="40.5" customHeight="1" thickBot="1" x14ac:dyDescent="0.25">
      <c r="A3" s="1517"/>
      <c r="B3" s="1518"/>
      <c r="C3" s="1518"/>
      <c r="D3" s="1519"/>
      <c r="E3" s="1513" t="s">
        <v>538</v>
      </c>
      <c r="F3" s="1513"/>
      <c r="G3" s="846" t="str">
        <f>CoverSheet!I9</f>
        <v>Beginning Date:</v>
      </c>
      <c r="H3" s="847">
        <f>IF(_00de7129_653b_4d69_830e_62f54dcfdb6c="","N/A",_00de7129_653b_4d69_830e_62f54dcfdb6c)</f>
        <v>42095</v>
      </c>
      <c r="I3" s="846" t="str">
        <f>CoverSheet!K9</f>
        <v>End Date:</v>
      </c>
      <c r="J3" s="848">
        <f>IF(CoverSheet!L9="","N/A",CoverSheet!L9)</f>
        <v>43100</v>
      </c>
      <c r="K3" s="892"/>
      <c r="L3" s="892"/>
      <c r="M3" s="892"/>
      <c r="N3" s="893"/>
    </row>
    <row r="4" spans="1:15" s="178" customFormat="1" ht="33" customHeight="1" thickBot="1" x14ac:dyDescent="0.25">
      <c r="A4" s="1524" t="s">
        <v>417</v>
      </c>
      <c r="B4" s="1525"/>
      <c r="C4" s="1525"/>
      <c r="D4" s="1525"/>
      <c r="E4" s="1525"/>
      <c r="F4" s="1525"/>
      <c r="G4" s="1525"/>
      <c r="H4" s="1525"/>
      <c r="I4" s="1525"/>
      <c r="J4" s="1525"/>
      <c r="K4" s="1525"/>
      <c r="L4" s="1525"/>
      <c r="M4" s="1525"/>
      <c r="N4" s="1525"/>
      <c r="O4" s="236"/>
    </row>
    <row r="5" spans="1:15" s="19" customFormat="1" ht="0.75" customHeight="1" thickBot="1" x14ac:dyDescent="0.25">
      <c r="B5" s="135"/>
      <c r="C5" s="135"/>
      <c r="D5" s="135"/>
      <c r="E5" s="135"/>
      <c r="F5" s="135"/>
      <c r="G5" s="135"/>
      <c r="H5" s="135"/>
      <c r="I5" s="135"/>
      <c r="J5" s="135"/>
      <c r="K5" s="135"/>
      <c r="L5" s="235"/>
    </row>
    <row r="6" spans="1:15" s="117" customFormat="1" ht="30" customHeight="1" thickBot="1" x14ac:dyDescent="0.25">
      <c r="B6" s="164"/>
      <c r="C6" s="165"/>
      <c r="D6" s="1526" t="s">
        <v>70</v>
      </c>
      <c r="E6" s="1527"/>
      <c r="F6" s="1527"/>
      <c r="G6" s="1527"/>
      <c r="H6" s="1527"/>
      <c r="I6" s="1527"/>
      <c r="J6" s="1527"/>
      <c r="K6" s="1527"/>
      <c r="L6" s="1527"/>
      <c r="M6" s="1527"/>
      <c r="N6" s="1528"/>
      <c r="O6" s="237"/>
    </row>
    <row r="7" spans="1:15" s="117" customFormat="1" ht="93" customHeight="1" thickBot="1" x14ac:dyDescent="0.25">
      <c r="B7" s="1529"/>
      <c r="C7" s="1530"/>
      <c r="D7" s="319" t="s">
        <v>40</v>
      </c>
      <c r="E7" s="317" t="s">
        <v>140</v>
      </c>
      <c r="F7" s="317" t="s">
        <v>83</v>
      </c>
      <c r="G7" s="317" t="s">
        <v>84</v>
      </c>
      <c r="H7" s="1531" t="s">
        <v>175</v>
      </c>
      <c r="I7" s="1532"/>
      <c r="J7" s="317" t="s">
        <v>17</v>
      </c>
      <c r="K7" s="317" t="s">
        <v>141</v>
      </c>
      <c r="L7" s="317" t="s">
        <v>138</v>
      </c>
      <c r="M7" s="317" t="s">
        <v>84</v>
      </c>
      <c r="N7" s="317" t="s">
        <v>175</v>
      </c>
    </row>
    <row r="8" spans="1:15" s="117" customFormat="1" ht="46.5" customHeight="1" x14ac:dyDescent="0.2">
      <c r="B8" s="1520" t="s">
        <v>146</v>
      </c>
      <c r="C8" s="1521"/>
      <c r="D8" s="733">
        <f>SUM(D9:D10)</f>
        <v>1655595.12</v>
      </c>
      <c r="E8" s="733">
        <f>SUM(E9:E10)</f>
        <v>2773721.5</v>
      </c>
      <c r="F8" s="733">
        <f>IF(D8="",IF(E8="","",D8-E8),D8-E8)</f>
        <v>-1118126.3799999999</v>
      </c>
      <c r="G8" s="744">
        <f>E8/D8</f>
        <v>1.6753622105385282</v>
      </c>
      <c r="H8" s="1522"/>
      <c r="I8" s="1523"/>
      <c r="J8" s="733">
        <f>SUM(J9:J10)</f>
        <v>8321722.1900000004</v>
      </c>
      <c r="K8" s="733">
        <f>SUM(K9:K10)</f>
        <v>7287073.1200000001</v>
      </c>
      <c r="L8" s="695">
        <f>IF(J8="",IF(K8="","",J8-K8),J8-K8)</f>
        <v>1034649.0700000003</v>
      </c>
      <c r="M8" s="744">
        <f>K8/J8</f>
        <v>0.8756688764203987</v>
      </c>
      <c r="N8" s="158"/>
    </row>
    <row r="9" spans="1:15" s="117" customFormat="1" ht="65.25" customHeight="1" x14ac:dyDescent="0.2">
      <c r="B9" s="1533" t="s">
        <v>202</v>
      </c>
      <c r="C9" s="1534"/>
      <c r="D9" s="901">
        <v>355804.84</v>
      </c>
      <c r="E9" s="695">
        <f>'PR Cash Reconciliation_2A,B,C,D'!D18+'PR Cash Reconciliation_2A,B,C,D'!D19+'PR Cash Reconciliation_2A,B,C,D'!D21</f>
        <v>783784.67999999993</v>
      </c>
      <c r="F9" s="695">
        <f>IF(D9="",IF(E9="",0,D9-E9),D9-E9)</f>
        <v>-427979.83999999991</v>
      </c>
      <c r="G9" s="744">
        <f t="shared" ref="G9:G10" si="0">E9/D9</f>
        <v>2.2028499668526149</v>
      </c>
      <c r="H9" s="1535" t="s">
        <v>1633</v>
      </c>
      <c r="I9" s="1536"/>
      <c r="J9" s="901">
        <v>1782705.91</v>
      </c>
      <c r="K9" s="695">
        <f>'PR Cash Reconciliation_2A,B,C,D'!D18+'PR Cash Reconciliation_2A,B,C,D'!D19+'PR Cash Reconciliation_2A,B,C,D'!D21+'PR Cash Reconciliation_2A,B,C,D'!C18+'PR Cash Reconciliation_2A,B,C,D'!C19+'PR Cash Reconciliation_2A,B,C,D'!C21</f>
        <v>1504362.21</v>
      </c>
      <c r="L9" s="695">
        <f>IF(J9="",IF(K9="",0,J9-K9),J9-K9)</f>
        <v>278343.69999999995</v>
      </c>
      <c r="M9" s="744">
        <f t="shared" ref="M9:M10" si="1">K9/J9</f>
        <v>0.84386448800183766</v>
      </c>
      <c r="N9" s="159" t="s">
        <v>1638</v>
      </c>
    </row>
    <row r="10" spans="1:15" s="117" customFormat="1" ht="65.25" customHeight="1" x14ac:dyDescent="0.2">
      <c r="B10" s="1537" t="s">
        <v>43</v>
      </c>
      <c r="C10" s="1538"/>
      <c r="D10" s="901">
        <v>1299790.28</v>
      </c>
      <c r="E10" s="695">
        <f>'PR Cash Reconciliation_2A,B,C,D'!D20</f>
        <v>1989936.82</v>
      </c>
      <c r="F10" s="695">
        <f>IF(D10="",IF(E10="",0,D10-E10),D10-E10)</f>
        <v>-690146.54</v>
      </c>
      <c r="G10" s="744">
        <f t="shared" si="0"/>
        <v>1.5309676111749351</v>
      </c>
      <c r="H10" s="1535" t="s">
        <v>1668</v>
      </c>
      <c r="I10" s="1536"/>
      <c r="J10" s="901">
        <v>6539016.2800000003</v>
      </c>
      <c r="K10" s="695">
        <f>'PR Cash Reconciliation_2A,B,C,D'!D20+'PR Cash Reconciliation_2A,B,C,D'!C20</f>
        <v>5782710.9100000001</v>
      </c>
      <c r="L10" s="695">
        <f>IF(J10="",IF(K10="",0,J10-K10),J10-K10)</f>
        <v>756305.37000000011</v>
      </c>
      <c r="M10" s="744">
        <f t="shared" si="1"/>
        <v>0.88433957989778855</v>
      </c>
      <c r="N10" s="159" t="s">
        <v>1667</v>
      </c>
    </row>
    <row r="11" spans="1:15" s="117" customFormat="1" ht="15.75" thickBot="1" x14ac:dyDescent="0.25">
      <c r="B11" s="160"/>
      <c r="C11" s="160"/>
      <c r="D11" s="161"/>
      <c r="E11" s="161"/>
      <c r="F11" s="162"/>
      <c r="I11" s="163"/>
      <c r="J11" s="163"/>
      <c r="K11" s="161"/>
      <c r="L11" s="161"/>
      <c r="N11" s="162"/>
    </row>
    <row r="12" spans="1:15" s="117" customFormat="1" ht="90" customHeight="1" thickBot="1" x14ac:dyDescent="0.25">
      <c r="B12" s="1529" t="s">
        <v>129</v>
      </c>
      <c r="C12" s="1530"/>
      <c r="D12" s="319" t="s">
        <v>40</v>
      </c>
      <c r="E12" s="317" t="s">
        <v>140</v>
      </c>
      <c r="F12" s="317" t="s">
        <v>83</v>
      </c>
      <c r="G12" s="317" t="s">
        <v>84</v>
      </c>
      <c r="H12" s="1531" t="s">
        <v>175</v>
      </c>
      <c r="I12" s="1532"/>
      <c r="J12" s="317" t="s">
        <v>17</v>
      </c>
      <c r="K12" s="317" t="s">
        <v>141</v>
      </c>
      <c r="L12" s="317" t="s">
        <v>138</v>
      </c>
      <c r="M12" s="319" t="s">
        <v>84</v>
      </c>
      <c r="N12" s="317" t="s">
        <v>175</v>
      </c>
    </row>
    <row r="13" spans="1:15" s="117" customFormat="1" ht="54" customHeight="1" x14ac:dyDescent="0.2">
      <c r="B13" s="1520" t="s">
        <v>203</v>
      </c>
      <c r="C13" s="1521"/>
      <c r="D13" s="733">
        <f>D14+D15</f>
        <v>224120</v>
      </c>
      <c r="E13" s="733">
        <f>E14+E15</f>
        <v>453683.01999999996</v>
      </c>
      <c r="F13" s="733">
        <f>IF(D13="",IF(E13="","",D13-E13),D13-E13)</f>
        <v>-229563.01999999996</v>
      </c>
      <c r="G13" s="744">
        <f>E13/D13</f>
        <v>2.0242861859718007</v>
      </c>
      <c r="H13" s="1539"/>
      <c r="I13" s="1540"/>
      <c r="J13" s="745">
        <f>J14+J15</f>
        <v>3198560</v>
      </c>
      <c r="K13" s="733">
        <f>K14+K15</f>
        <v>2421283.11</v>
      </c>
      <c r="L13" s="733">
        <f>IF(J13="",IF(K13="","",J13-K13),J13-K13)</f>
        <v>777276.89000000013</v>
      </c>
      <c r="M13" s="744">
        <f>K13/J13</f>
        <v>0.75699161810314641</v>
      </c>
      <c r="N13" s="166"/>
    </row>
    <row r="14" spans="1:15" s="117" customFormat="1" ht="54" customHeight="1" x14ac:dyDescent="0.2">
      <c r="B14" s="1541" t="s">
        <v>124</v>
      </c>
      <c r="C14" s="1542"/>
      <c r="D14" s="901">
        <v>32000</v>
      </c>
      <c r="E14" s="693">
        <v>47331.42</v>
      </c>
      <c r="F14" s="695">
        <f>IF(D14="",IF(E14="",0,D14-E14),D14-E14)</f>
        <v>-15331.419999999998</v>
      </c>
      <c r="G14" s="744">
        <f t="shared" ref="G14:G15" si="2">E14/D14</f>
        <v>1.479106875</v>
      </c>
      <c r="H14" s="1535" t="s">
        <v>1635</v>
      </c>
      <c r="I14" s="1536"/>
      <c r="J14" s="901">
        <v>2039000</v>
      </c>
      <c r="K14" s="693">
        <v>1400118.38</v>
      </c>
      <c r="L14" s="695">
        <f>IF(J14="",IF(K14="",0,J14-K14),J14-K14)</f>
        <v>638881.62000000011</v>
      </c>
      <c r="M14" s="744">
        <f t="shared" ref="M14:M15" si="3">K14/J14</f>
        <v>0.68666914173614513</v>
      </c>
      <c r="N14" s="155" t="s">
        <v>1634</v>
      </c>
    </row>
    <row r="15" spans="1:15" s="117" customFormat="1" ht="51" customHeight="1" x14ac:dyDescent="0.2">
      <c r="B15" s="1533" t="s">
        <v>125</v>
      </c>
      <c r="C15" s="1534"/>
      <c r="D15" s="901">
        <v>192120</v>
      </c>
      <c r="E15" s="693">
        <f>267648.6+138703</f>
        <v>406351.6</v>
      </c>
      <c r="F15" s="695">
        <f>IF(D15="",IF(E15="",0,D15-E15),D15-E15)</f>
        <v>-214231.59999999998</v>
      </c>
      <c r="G15" s="746">
        <f t="shared" si="2"/>
        <v>2.1150926504268166</v>
      </c>
      <c r="H15" s="1543" t="s">
        <v>1636</v>
      </c>
      <c r="I15" s="1544"/>
      <c r="J15" s="901">
        <v>1159560</v>
      </c>
      <c r="K15" s="693">
        <f>525683.31+495481.42</f>
        <v>1021164.73</v>
      </c>
      <c r="L15" s="695">
        <f>IF(J15="",IF(K15="",0,J15-K15),J15-K15)</f>
        <v>138395.27000000002</v>
      </c>
      <c r="M15" s="744">
        <f t="shared" si="3"/>
        <v>0.880648461485391</v>
      </c>
      <c r="N15" s="243" t="s">
        <v>1637</v>
      </c>
    </row>
    <row r="16" spans="1:15" s="19" customFormat="1" x14ac:dyDescent="0.2">
      <c r="C16" s="46"/>
      <c r="E16" s="242"/>
      <c r="F16" s="242"/>
      <c r="G16" s="242"/>
      <c r="H16" s="242"/>
      <c r="I16" s="242"/>
      <c r="L16" s="242"/>
      <c r="N16" s="242"/>
    </row>
    <row r="17" spans="1:14" s="19" customFormat="1" x14ac:dyDescent="0.2"/>
    <row r="18" spans="1:14" s="19" customFormat="1" ht="60.75" customHeight="1" thickBot="1" x14ac:dyDescent="0.25">
      <c r="A18" s="126" t="s">
        <v>102</v>
      </c>
      <c r="B18" s="125"/>
      <c r="C18" s="25"/>
      <c r="D18" s="25"/>
      <c r="E18" s="25"/>
      <c r="F18" s="25"/>
      <c r="G18" s="25"/>
      <c r="H18" s="25"/>
      <c r="I18" s="25"/>
      <c r="J18" s="124"/>
      <c r="K18" s="123"/>
      <c r="L18" s="123"/>
    </row>
    <row r="19" spans="1:14" s="178" customFormat="1" ht="33" customHeight="1" thickBot="1" x14ac:dyDescent="0.25">
      <c r="A19" s="1545" t="s">
        <v>418</v>
      </c>
      <c r="B19" s="1545"/>
      <c r="C19" s="1545"/>
      <c r="D19" s="1545"/>
      <c r="E19" s="1545"/>
      <c r="F19" s="1545"/>
      <c r="G19" s="1545"/>
      <c r="H19" s="1545"/>
      <c r="I19" s="1545"/>
      <c r="J19" s="1545"/>
      <c r="K19" s="1545"/>
      <c r="L19" s="1545"/>
      <c r="M19" s="240"/>
      <c r="N19" s="240"/>
    </row>
    <row r="20" spans="1:14" s="19" customFormat="1" ht="21" hidden="1" thickBot="1" x14ac:dyDescent="0.25">
      <c r="B20" s="135"/>
      <c r="C20" s="136"/>
      <c r="D20" s="135"/>
      <c r="E20" s="238"/>
      <c r="F20" s="135"/>
      <c r="G20" s="238"/>
      <c r="H20" s="135"/>
      <c r="I20" s="135"/>
      <c r="J20" s="238"/>
      <c r="K20" s="238"/>
      <c r="L20" s="239"/>
    </row>
    <row r="21" spans="1:14" s="19" customFormat="1" ht="28.5" customHeight="1" thickBot="1" x14ac:dyDescent="0.25">
      <c r="A21" s="147"/>
      <c r="B21" s="156"/>
      <c r="C21" s="157"/>
      <c r="D21" s="1546" t="s">
        <v>132</v>
      </c>
      <c r="E21" s="1547"/>
      <c r="F21" s="1547"/>
      <c r="G21" s="1547"/>
      <c r="H21" s="1547"/>
      <c r="I21" s="1547"/>
      <c r="J21" s="1547"/>
      <c r="K21" s="1547"/>
      <c r="L21" s="1547"/>
      <c r="M21" s="1547"/>
      <c r="N21" s="1547"/>
    </row>
    <row r="22" spans="1:14" s="19" customFormat="1" ht="80.099999999999994" customHeight="1" thickBot="1" x14ac:dyDescent="0.25">
      <c r="B22" s="1529"/>
      <c r="C22" s="1530"/>
      <c r="D22" s="325" t="s">
        <v>40</v>
      </c>
      <c r="E22" s="322" t="s">
        <v>130</v>
      </c>
      <c r="F22" s="321" t="s">
        <v>83</v>
      </c>
      <c r="G22" s="318" t="s">
        <v>84</v>
      </c>
      <c r="H22" s="1498" t="s">
        <v>205</v>
      </c>
      <c r="I22" s="1500"/>
      <c r="J22" s="321" t="s">
        <v>17</v>
      </c>
      <c r="K22" s="681" t="s">
        <v>131</v>
      </c>
      <c r="L22" s="321" t="s">
        <v>138</v>
      </c>
      <c r="M22" s="684" t="s">
        <v>84</v>
      </c>
      <c r="N22" s="318" t="s">
        <v>204</v>
      </c>
    </row>
    <row r="23" spans="1:14" s="19" customFormat="1" ht="46.5" customHeight="1" x14ac:dyDescent="0.2">
      <c r="B23" s="1548" t="s">
        <v>146</v>
      </c>
      <c r="C23" s="1549"/>
      <c r="D23" s="747">
        <f>SUM(D24:D25)</f>
        <v>1655595.12</v>
      </c>
      <c r="E23" s="747">
        <f>SUM(E24:E25)</f>
        <v>2773721.5</v>
      </c>
      <c r="F23" s="747">
        <f>IF(D23="",IF(E23="","",D23-E23),D23-E23)</f>
        <v>-1118126.3799999999</v>
      </c>
      <c r="G23" s="748">
        <f t="shared" ref="G23:G25" si="4">E23/D23</f>
        <v>1.6753622105385282</v>
      </c>
      <c r="H23" s="1550"/>
      <c r="I23" s="1551"/>
      <c r="J23" s="747">
        <f t="shared" ref="J23:K23" si="5">SUM(J24:J25)</f>
        <v>8321722.1900000004</v>
      </c>
      <c r="K23" s="747">
        <f t="shared" si="5"/>
        <v>2773721.5</v>
      </c>
      <c r="L23" s="747">
        <f>IF(J23="",IF(K23="","",J23-K23),J23-K23)</f>
        <v>5548000.6900000004</v>
      </c>
      <c r="M23" s="749">
        <f>K23/J23</f>
        <v>0.33331099460795627</v>
      </c>
      <c r="N23" s="320"/>
    </row>
    <row r="24" spans="1:14" s="19" customFormat="1" ht="65.25" customHeight="1" x14ac:dyDescent="0.2">
      <c r="B24" s="1533" t="s">
        <v>202</v>
      </c>
      <c r="C24" s="1534"/>
      <c r="D24" s="901">
        <v>355804.84</v>
      </c>
      <c r="E24" s="750">
        <f>'PR Cash Reconciliation_2A,B,C,D'!H18+'PR Cash Reconciliation_2A,B,C,D'!H19+'PR Cash Reconciliation_2A,B,C,D'!H21</f>
        <v>783784.67999999993</v>
      </c>
      <c r="F24" s="695">
        <f>IF(D24="",IF(E24="",0,D24-E24),D24-E24)</f>
        <v>-427979.83999999991</v>
      </c>
      <c r="G24" s="751">
        <f t="shared" si="4"/>
        <v>2.2028499668526149</v>
      </c>
      <c r="H24" s="1535"/>
      <c r="I24" s="1536"/>
      <c r="J24" s="901">
        <v>1782705.91</v>
      </c>
      <c r="K24" s="695">
        <f>'PR Cash Reconciliation_2A,B,C,D'!F18+'PR Cash Reconciliation_2A,B,C,D'!F19+'PR Cash Reconciliation_2A,B,C,D'!F21+E24</f>
        <v>783784.67999999993</v>
      </c>
      <c r="L24" s="695">
        <f>IF(J24="",IF(K24="",0,J24-K24),J24-K24)</f>
        <v>998921.23</v>
      </c>
      <c r="M24" s="744">
        <f t="shared" ref="M24:M25" si="6">K24/J24</f>
        <v>0.43966011196989857</v>
      </c>
      <c r="N24" s="159"/>
    </row>
    <row r="25" spans="1:14" s="19" customFormat="1" ht="65.25" customHeight="1" x14ac:dyDescent="0.2">
      <c r="B25" s="1537" t="s">
        <v>43</v>
      </c>
      <c r="C25" s="1538"/>
      <c r="D25" s="901">
        <v>1299790.28</v>
      </c>
      <c r="E25" s="750">
        <f>'PR Cash Reconciliation_2A,B,C,D'!H20</f>
        <v>1989936.82</v>
      </c>
      <c r="F25" s="695">
        <f>IF(D25="",IF(E25="",0,D25-E25),D25-E25)</f>
        <v>-690146.54</v>
      </c>
      <c r="G25" s="751">
        <f t="shared" si="4"/>
        <v>1.5309676111749351</v>
      </c>
      <c r="H25" s="1535"/>
      <c r="I25" s="1536"/>
      <c r="J25" s="901">
        <v>6539016.2800000003</v>
      </c>
      <c r="K25" s="695">
        <f>'PR Cash Reconciliation_2A,B,C,D'!F20+E25</f>
        <v>1989936.82</v>
      </c>
      <c r="L25" s="695">
        <f>IF(J25="",IF(K25="",0,J25-K25),J25-K25)</f>
        <v>4549079.46</v>
      </c>
      <c r="M25" s="744">
        <f t="shared" si="6"/>
        <v>0.30431745920045333</v>
      </c>
      <c r="N25" s="159"/>
    </row>
    <row r="26" spans="1:14" s="19" customFormat="1" ht="15.75" thickBot="1" x14ac:dyDescent="0.25">
      <c r="B26" s="160"/>
      <c r="C26" s="160"/>
      <c r="D26" s="161"/>
      <c r="E26" s="161"/>
      <c r="F26" s="162"/>
      <c r="I26" s="163"/>
      <c r="J26" s="163"/>
      <c r="K26" s="161"/>
      <c r="L26" s="161"/>
      <c r="N26" s="162"/>
    </row>
    <row r="27" spans="1:14" s="19" customFormat="1" ht="90.75" customHeight="1" thickBot="1" x14ac:dyDescent="0.25">
      <c r="B27" s="1529" t="s">
        <v>129</v>
      </c>
      <c r="C27" s="1530"/>
      <c r="D27" s="683" t="s">
        <v>40</v>
      </c>
      <c r="E27" s="683" t="s">
        <v>130</v>
      </c>
      <c r="F27" s="683" t="s">
        <v>83</v>
      </c>
      <c r="G27" s="318" t="s">
        <v>84</v>
      </c>
      <c r="H27" s="1546" t="s">
        <v>204</v>
      </c>
      <c r="I27" s="1552"/>
      <c r="J27" s="683" t="s">
        <v>17</v>
      </c>
      <c r="K27" s="683" t="s">
        <v>131</v>
      </c>
      <c r="L27" s="318" t="s">
        <v>138</v>
      </c>
      <c r="M27" s="684" t="s">
        <v>84</v>
      </c>
      <c r="N27" s="318" t="s">
        <v>204</v>
      </c>
    </row>
    <row r="28" spans="1:14" s="19" customFormat="1" ht="54" customHeight="1" x14ac:dyDescent="0.2">
      <c r="B28" s="1520" t="s">
        <v>135</v>
      </c>
      <c r="C28" s="1521"/>
      <c r="D28" s="752">
        <f>D29+D30</f>
        <v>224120</v>
      </c>
      <c r="E28" s="752">
        <f>E29+E30</f>
        <v>0</v>
      </c>
      <c r="F28" s="752">
        <f>IF(D28="",IF(E28="","",D28-E28),D28-E28)</f>
        <v>224120</v>
      </c>
      <c r="G28" s="749">
        <f t="shared" ref="G28:G30" si="7">E28/D28</f>
        <v>0</v>
      </c>
      <c r="H28" s="323"/>
      <c r="I28" s="324"/>
      <c r="J28" s="752">
        <f>J29+J30</f>
        <v>3198560</v>
      </c>
      <c r="K28" s="752">
        <f>K29+K30</f>
        <v>0</v>
      </c>
      <c r="L28" s="752">
        <f>IF(J28="",IF(K28="","",J28-K28),J28-K28)</f>
        <v>3198560</v>
      </c>
      <c r="M28" s="749">
        <f>K28/J28</f>
        <v>0</v>
      </c>
      <c r="N28" s="166"/>
    </row>
    <row r="29" spans="1:14" s="19" customFormat="1" ht="54" customHeight="1" x14ac:dyDescent="0.2">
      <c r="B29" s="1541" t="s">
        <v>124</v>
      </c>
      <c r="C29" s="1542"/>
      <c r="D29" s="901">
        <v>32000</v>
      </c>
      <c r="E29" s="693"/>
      <c r="F29" s="695">
        <f>IF(D29="",IF(E29="",0,D29-E29),D29-E29)</f>
        <v>32000</v>
      </c>
      <c r="G29" s="744">
        <f t="shared" si="7"/>
        <v>0</v>
      </c>
      <c r="H29" s="1535"/>
      <c r="I29" s="1536"/>
      <c r="J29" s="901">
        <v>2039000</v>
      </c>
      <c r="K29" s="693"/>
      <c r="L29" s="695">
        <f>IF(J29="",IF(K29="",0,J29-K29),J29-K29)</f>
        <v>2039000</v>
      </c>
      <c r="M29" s="744">
        <f t="shared" ref="M29:M30" si="8">K29/J29</f>
        <v>0</v>
      </c>
      <c r="N29" s="155"/>
    </row>
    <row r="30" spans="1:14" s="19" customFormat="1" ht="51" customHeight="1" x14ac:dyDescent="0.2">
      <c r="B30" s="1533" t="s">
        <v>125</v>
      </c>
      <c r="C30" s="1534"/>
      <c r="D30" s="901">
        <v>192120</v>
      </c>
      <c r="E30" s="693"/>
      <c r="F30" s="695">
        <f>IF(D30="",IF(E30="",0,D30-E30),D30-E30)</f>
        <v>192120</v>
      </c>
      <c r="G30" s="744">
        <f t="shared" si="7"/>
        <v>0</v>
      </c>
      <c r="H30" s="1535"/>
      <c r="I30" s="1536"/>
      <c r="J30" s="901">
        <v>1159560</v>
      </c>
      <c r="K30" s="693"/>
      <c r="L30" s="695">
        <f>IF(J30="",IF(K30="",0,J30-K30),J30-K30)</f>
        <v>1159560</v>
      </c>
      <c r="M30" s="744">
        <f t="shared" si="8"/>
        <v>0</v>
      </c>
      <c r="N30" s="155"/>
    </row>
    <row r="31" spans="1:14" s="9" customFormat="1" x14ac:dyDescent="0.2">
      <c r="D31" s="241"/>
      <c r="E31" s="241"/>
      <c r="F31" s="241"/>
      <c r="J31" s="241"/>
      <c r="K31" s="241"/>
      <c r="L31" s="241"/>
    </row>
  </sheetData>
  <sheetProtection algorithmName="SHA-512" hashValue="mnPnyhs5a4u2f5rBIINdxl6AEmDDoWAUiYBkj9ICW4F8ZQ8d3rBnLJqKDVBuQA2NvaR0vRLHybT9RJRWvvJ0hA==" saltValue="gX+ZYmA7TQQRp8qCEhV1gA==" spinCount="100000" sheet="1" objects="1" scenarios="1" formatColumns="0" formatRows="0" sort="0" autoFilter="0"/>
  <mergeCells count="38">
    <mergeCell ref="B28:C28"/>
    <mergeCell ref="B29:C29"/>
    <mergeCell ref="H29:I29"/>
    <mergeCell ref="B30:C30"/>
    <mergeCell ref="H30:I30"/>
    <mergeCell ref="B24:C24"/>
    <mergeCell ref="H24:I24"/>
    <mergeCell ref="B25:C25"/>
    <mergeCell ref="H25:I25"/>
    <mergeCell ref="B27:C27"/>
    <mergeCell ref="H27:I27"/>
    <mergeCell ref="A19:L19"/>
    <mergeCell ref="D21:N21"/>
    <mergeCell ref="B22:C22"/>
    <mergeCell ref="H22:I22"/>
    <mergeCell ref="B23:C23"/>
    <mergeCell ref="H23:I23"/>
    <mergeCell ref="B13:C13"/>
    <mergeCell ref="H13:I13"/>
    <mergeCell ref="B14:C14"/>
    <mergeCell ref="H14:I14"/>
    <mergeCell ref="B15:C15"/>
    <mergeCell ref="H15:I15"/>
    <mergeCell ref="B9:C9"/>
    <mergeCell ref="H9:I9"/>
    <mergeCell ref="B10:C10"/>
    <mergeCell ref="H10:I10"/>
    <mergeCell ref="B12:C12"/>
    <mergeCell ref="H12:I12"/>
    <mergeCell ref="E2:F2"/>
    <mergeCell ref="E3:F3"/>
    <mergeCell ref="A2:D3"/>
    <mergeCell ref="B8:C8"/>
    <mergeCell ref="H8:I8"/>
    <mergeCell ref="A4:N4"/>
    <mergeCell ref="D6:N6"/>
    <mergeCell ref="B7:C7"/>
    <mergeCell ref="H7:I7"/>
  </mergeCells>
  <conditionalFormatting sqref="F11 N11 N13:N15 H13">
    <cfRule type="cellIs" dxfId="129" priority="5" stopIfTrue="1" operator="lessThan">
      <formula>0</formula>
    </cfRule>
  </conditionalFormatting>
  <conditionalFormatting sqref="F11 H13 N13:N15 N11 N26">
    <cfRule type="cellIs" dxfId="128" priority="4" stopIfTrue="1" operator="lessThan">
      <formula>0</formula>
    </cfRule>
  </conditionalFormatting>
  <conditionalFormatting sqref="F26 N26 N28:N30 H28">
    <cfRule type="cellIs" dxfId="127" priority="3" stopIfTrue="1" operator="lessThan">
      <formula>0</formula>
    </cfRule>
  </conditionalFormatting>
  <conditionalFormatting sqref="F26 H28 N28:N30">
    <cfRule type="cellIs" dxfId="126" priority="2" stopIfTrue="1" operator="lessThan">
      <formula>0</formula>
    </cfRule>
  </conditionalFormatting>
  <dataValidations count="24">
    <dataValidation type="decimal" allowBlank="1" showInputMessage="1" showErrorMessage="1" errorTitle="X-Author for Excel" error="Please enter a valid numeric value. Valid range for LFA Actual Grant Cash Out-Flow is -9999999999.99 to 9999999999.99." promptTitle="X-Author for Excel" sqref="E29">
      <formula1>-9999999999.99</formula1>
      <formula2>9999999999.99</formula2>
    </dataValidation>
    <dataValidation type="decimal" allowBlank="1" showInputMessage="1" showErrorMessage="1" errorTitle="X-Author for Excel" error="Please enter a valid numeric value. Valid range for LFA Cumul. Actual Grant Cash Out-Flow is -9999999999.99 to 9999999999.99." promptTitle="X-Author for Excel" sqref="K29">
      <formula1>-9999999999.99</formula1>
      <formula2>9999999999.99</formula2>
    </dataValidation>
    <dataValidation type="decimal" allowBlank="1" showInputMessage="1" showErrorMessage="1" errorTitle="X-Author for Excel" error="Please enter a valid numeric value. Valid range for PR Actual Grant Cash Out-Flow is -9999999999.99 to 9999999999.99." promptTitle="X-Author for Excel" sqref="E14">
      <formula1>-9999999999.99</formula1>
      <formula2>9999999999.99</formula2>
    </dataValidation>
    <dataValidation type="decimal" allowBlank="1" showInputMessage="1" showErrorMessage="1" errorTitle="X-Author for Excel" error="Please enter a valid numeric value. Valid range for PR Cumulative Actual Grant Cash Out-Flow is -9999999999.99 to 9999999999.99." promptTitle="X-Author for Excel" sqref="K14">
      <formula1>-9999999999.99</formula1>
      <formula2>9999999999.99</formula2>
    </dataValidation>
    <dataValidation type="decimal" allowBlank="1" showInputMessage="1" showErrorMessage="1" errorTitle="X-Author for Excel" error="Please enter a valid numeric value. Valid range for LFA Actual Grant Cash Out-Flow is -9999999999.99 to 9999999999.99." promptTitle="X-Author for Excel" sqref="E30">
      <formula1>-9999999999.99</formula1>
      <formula2>9999999999.99</formula2>
    </dataValidation>
    <dataValidation type="decimal" allowBlank="1" showInputMessage="1" showErrorMessage="1" errorTitle="X-Author for Excel" error="Please enter a valid numeric value. Valid range for LFA Cumul. Actual Grant Cash Out-Flow is -9999999999.99 to 9999999999.99." promptTitle="X-Author for Excel" sqref="K30">
      <formula1>-9999999999.99</formula1>
      <formula2>9999999999.99</formula2>
    </dataValidation>
    <dataValidation type="decimal" allowBlank="1" showInputMessage="1" showErrorMessage="1" errorTitle="X-Author for Excel" error="Please enter a valid numeric value. Valid range for PR Actual Grant Cash Out-Flow is -9999999999.99 to 9999999999.99." promptTitle="X-Author for Excel" sqref="E15">
      <formula1>-9999999999.99</formula1>
      <formula2>9999999999.99</formula2>
    </dataValidation>
    <dataValidation type="decimal" allowBlank="1" showInputMessage="1" showErrorMessage="1" errorTitle="X-Author for Excel" error="Please enter a valid numeric value. Valid range for PR Cumulative Actual Grant Cash Out-Flow is -9999999999.99 to 9999999999.99." promptTitle="X-Author for Excel" sqref="K15">
      <formula1>-9999999999.99</formula1>
      <formula2>9999999999.99</formula2>
    </dataValidation>
    <dataValidation type="decimal" allowBlank="1" showInputMessage="1" showErrorMessage="1" errorTitle="X-Author for Excel" error="Please enter a valid numeric value. Valid range for Budget for Reporting Period is -9999999999.99 to 9999999999.99." promptTitle="X-Author for Excel" sqref="D9">
      <formula1>-9999999999.99</formula1>
      <formula2>9999999999.99</formula2>
    </dataValidation>
    <dataValidation type="decimal" allowBlank="1" showInputMessage="1" showErrorMessage="1" errorTitle="X-Author for Excel" error="Please enter a valid numeric value. Valid range for Cumul. Budget through PU period is -9999999999.99 to 9999999999.99." promptTitle="X-Author for Excel" sqref="J9">
      <formula1>-9999999999.99</formula1>
      <formula2>9999999999.99</formula2>
    </dataValidation>
    <dataValidation type="decimal" allowBlank="1" showInputMessage="1" showErrorMessage="1" errorTitle="X-Author for Excel" error="Please enter a valid numeric value. Valid range for Budget for Reporting Period is -9999999999.99 to 9999999999.99." promptTitle="X-Author for Excel" sqref="D24">
      <formula1>-9999999999.99</formula1>
      <formula2>9999999999.99</formula2>
    </dataValidation>
    <dataValidation type="decimal" allowBlank="1" showInputMessage="1" showErrorMessage="1" errorTitle="X-Author for Excel" error="Please enter a valid numeric value. Valid range for Cumul. Budget through PU period is -9999999999.99 to 9999999999.99." promptTitle="X-Author for Excel" sqref="J24">
      <formula1>-9999999999.99</formula1>
      <formula2>9999999999.99</formula2>
    </dataValidation>
    <dataValidation type="decimal" allowBlank="1" showInputMessage="1" showErrorMessage="1" errorTitle="X-Author for Excel" error="Please enter a valid numeric value. Valid range for Budget for Reporting Period is -9999999999.99 to 9999999999.99." promptTitle="X-Author for Excel" sqref="D10">
      <formula1>-9999999999.99</formula1>
      <formula2>9999999999.99</formula2>
    </dataValidation>
    <dataValidation type="decimal" allowBlank="1" showInputMessage="1" showErrorMessage="1" errorTitle="X-Author for Excel" error="Please enter a valid numeric value. Valid range for Cumul. Budget through PU period is -9999999999.99 to 9999999999.99." promptTitle="X-Author for Excel" sqref="J10">
      <formula1>-9999999999.99</formula1>
      <formula2>9999999999.99</formula2>
    </dataValidation>
    <dataValidation type="decimal" allowBlank="1" showInputMessage="1" showErrorMessage="1" errorTitle="X-Author for Excel" error="Please enter a valid numeric value. Valid range for Budget for Reporting Period is -9999999999.99 to 9999999999.99." promptTitle="X-Author for Excel" sqref="D25">
      <formula1>-9999999999.99</formula1>
      <formula2>9999999999.99</formula2>
    </dataValidation>
    <dataValidation type="decimal" allowBlank="1" showInputMessage="1" showErrorMessage="1" errorTitle="X-Author for Excel" error="Please enter a valid numeric value. Valid range for Cumul. Budget through PU period is -9999999999.99 to 9999999999.99." promptTitle="X-Author for Excel" sqref="J25">
      <formula1>-9999999999.99</formula1>
      <formula2>9999999999.99</formula2>
    </dataValidation>
    <dataValidation type="decimal" allowBlank="1" showInputMessage="1" showErrorMessage="1" errorTitle="X-Author for Excel" error="Please enter a valid numeric value. Valid range for Budget for Reporting Period is -9999999999.99 to 9999999999.99." promptTitle="X-Author for Excel" sqref="D14">
      <formula1>-9999999999.99</formula1>
      <formula2>9999999999.99</formula2>
    </dataValidation>
    <dataValidation type="decimal" allowBlank="1" showInputMessage="1" showErrorMessage="1" errorTitle="X-Author for Excel" error="Please enter a valid numeric value. Valid range for Cumul. Budget through PU period is -9999999999.99 to 9999999999.99." promptTitle="X-Author for Excel" sqref="J14">
      <formula1>-9999999999.99</formula1>
      <formula2>9999999999.99</formula2>
    </dataValidation>
    <dataValidation type="decimal" allowBlank="1" showInputMessage="1" showErrorMessage="1" errorTitle="X-Author for Excel" error="Please enter a valid numeric value. Valid range for Cumul. Budget through PU period is -9999999999.99 to 9999999999.99." promptTitle="X-Author for Excel" sqref="J29">
      <formula1>-9999999999.99</formula1>
      <formula2>9999999999.99</formula2>
    </dataValidation>
    <dataValidation type="decimal" allowBlank="1" showInputMessage="1" showErrorMessage="1" errorTitle="X-Author for Excel" error="Please enter a valid numeric value. Valid range for Budget for Reporting Period is -9999999999.99 to 9999999999.99." promptTitle="X-Author for Excel" sqref="D29">
      <formula1>-9999999999.99</formula1>
      <formula2>9999999999.99</formula2>
    </dataValidation>
    <dataValidation type="decimal" allowBlank="1" showInputMessage="1" showErrorMessage="1" errorTitle="X-Author for Excel" error="Please enter a valid numeric value. Valid range for Cumul. Budget through PU period is -9999999999.99 to 9999999999.99." promptTitle="X-Author for Excel" sqref="J15">
      <formula1>-9999999999.99</formula1>
      <formula2>9999999999.99</formula2>
    </dataValidation>
    <dataValidation type="decimal" allowBlank="1" showInputMessage="1" showErrorMessage="1" errorTitle="X-Author for Excel" error="Please enter a valid numeric value. Valid range for Budget for Reporting Period is -9999999999.99 to 9999999999.99." promptTitle="X-Author for Excel" sqref="D15">
      <formula1>-9999999999.99</formula1>
      <formula2>9999999999.99</formula2>
    </dataValidation>
    <dataValidation type="decimal" allowBlank="1" showInputMessage="1" showErrorMessage="1" errorTitle="X-Author for Excel" error="Please enter a valid numeric value. Valid range for Cumul. Budget through PU period is -9999999999.99 to 9999999999.99." promptTitle="X-Author for Excel" sqref="J30">
      <formula1>-9999999999.99</formula1>
      <formula2>9999999999.99</formula2>
    </dataValidation>
    <dataValidation type="decimal" allowBlank="1" showInputMessage="1" showErrorMessage="1" errorTitle="X-Author for Excel" error="Please enter a valid numeric value. Valid range for Budget for Reporting Period is -9999999999.99 to 9999999999.99." promptTitle="X-Author for Excel" sqref="D30">
      <formula1>-9999999999.99</formula1>
      <formula2>9999999999.99</formula2>
    </dataValidation>
  </dataValidations>
  <pageMargins left="0.31496062992125984" right="0.31496062992125984" top="0.35433070866141736" bottom="0.35433070866141736" header="0.31496062992125984" footer="0.31496062992125984"/>
  <pageSetup paperSize="8" scale="49" orientation="landscape" r:id="rId1"/>
  <headerFooter>
    <oddFooter>&amp;L&amp;A&amp;R&amp;P</oddFooter>
  </headerFooter>
  <extLst>
    <ext xmlns:x14="http://schemas.microsoft.com/office/spreadsheetml/2009/9/main" uri="{78C0D931-6437-407d-A8EE-F0AAD7539E65}">
      <x14:conditionalFormattings>
        <x14:conditionalFormatting xmlns:xm="http://schemas.microsoft.com/office/excel/2006/main">
          <x14:cfRule type="expression" priority="1" id="{FF0CA15E-E37E-40A5-8819-710746A35BAC}">
            <xm:f>CoverSheet!$D$11="EUR"</xm:f>
            <x14:dxf>
              <numFmt numFmtId="183" formatCode="[$€-2]\ #,##0.00;[Red]\-[$€-2]\ #,##0.00"/>
            </x14:dxf>
          </x14:cfRule>
          <xm:sqref>D8:D10 E8:F8 F9:F10 J8:J10 K8:L8 L9:L10 D13:D14 D15 E13:F13 F14:F15 J13:J15 K13:L13 L14:L15 K14 K15 E14:E15 E9:E10 K9:K10 D23:F25 J23:L25 D28:F30 J28:L30</xm:sqref>
        </x14:conditionalFormatting>
      </x14:conditionalFormatting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tabColor theme="7" tint="-0.249977111117893"/>
  </sheetPr>
  <dimension ref="A1:JG91"/>
  <sheetViews>
    <sheetView view="pageBreakPreview" topLeftCell="M4" zoomScale="70" zoomScaleNormal="60" zoomScaleSheetLayoutView="70" zoomScalePageLayoutView="55" workbookViewId="0">
      <selection activeCell="Q16" sqref="Q16:W16"/>
    </sheetView>
  </sheetViews>
  <sheetFormatPr defaultColWidth="0" defaultRowHeight="12.75" x14ac:dyDescent="0.2"/>
  <cols>
    <col min="1" max="12" width="9.140625" style="101" hidden="1" customWidth="1"/>
    <col min="13" max="13" width="23.140625" style="2" customWidth="1"/>
    <col min="14" max="14" width="47.42578125" style="2" customWidth="1"/>
    <col min="15" max="16" width="22" style="2" customWidth="1"/>
    <col min="17" max="20" width="18.85546875" style="2" customWidth="1"/>
    <col min="21" max="21" width="23.85546875" style="2" customWidth="1"/>
    <col min="22" max="22" width="30.85546875" style="2" customWidth="1"/>
    <col min="23" max="23" width="35.140625" style="2" customWidth="1"/>
    <col min="24" max="24" width="4.85546875" style="32" customWidth="1"/>
    <col min="25" max="26" width="18.5703125" style="20" customWidth="1"/>
    <col min="27" max="267" width="0" style="2" hidden="1" customWidth="1"/>
    <col min="268" max="16384" width="9.140625" style="2" hidden="1"/>
  </cols>
  <sheetData>
    <row r="1" spans="13:26" s="7" customFormat="1" ht="37.5" customHeight="1" x14ac:dyDescent="0.2">
      <c r="M1" s="1553" t="str">
        <f>IF(CoverSheet!J12="N/A","Progress Report","Progress Report with Disbursement Request")</f>
        <v>Progress Report with Disbursement Request</v>
      </c>
      <c r="N1" s="1553"/>
      <c r="O1" s="1553"/>
      <c r="P1" s="1553"/>
      <c r="Q1" s="1553"/>
      <c r="R1" s="1553"/>
      <c r="S1" s="1553"/>
      <c r="T1" s="1553"/>
      <c r="U1" s="1553"/>
      <c r="V1" s="1553"/>
      <c r="W1" s="1553"/>
      <c r="X1" s="349"/>
      <c r="Y1" s="349"/>
      <c r="Z1" s="349"/>
    </row>
    <row r="2" spans="13:26" s="19" customFormat="1" ht="15" x14ac:dyDescent="0.2">
      <c r="M2" s="22"/>
      <c r="N2" s="22"/>
      <c r="O2" s="22"/>
      <c r="P2" s="22"/>
      <c r="Q2" s="22"/>
      <c r="R2" s="22"/>
      <c r="S2" s="22"/>
      <c r="T2" s="22"/>
      <c r="U2" s="22"/>
      <c r="V2" s="23"/>
      <c r="W2" s="20"/>
      <c r="X2" s="20"/>
      <c r="Y2" s="20"/>
      <c r="Z2" s="20"/>
    </row>
    <row r="3" spans="13:26" s="34" customFormat="1" ht="25.5" customHeight="1" thickBot="1" x14ac:dyDescent="0.25">
      <c r="M3" s="1554" t="s">
        <v>244</v>
      </c>
      <c r="N3" s="1554"/>
      <c r="O3" s="1554"/>
      <c r="P3" s="1554"/>
      <c r="Q3" s="1554"/>
      <c r="R3" s="1554"/>
      <c r="S3" s="1554"/>
      <c r="T3" s="1554"/>
      <c r="U3" s="1554"/>
      <c r="V3" s="1554"/>
      <c r="W3" s="137"/>
      <c r="X3" s="44"/>
    </row>
    <row r="4" spans="13:26" s="34" customFormat="1" ht="21" thickBot="1" x14ac:dyDescent="0.25">
      <c r="M4" s="24"/>
      <c r="N4" s="24"/>
      <c r="O4" s="24"/>
      <c r="P4" s="24"/>
      <c r="Q4" s="24"/>
      <c r="R4" s="24"/>
      <c r="S4" s="24"/>
      <c r="T4" s="24"/>
      <c r="U4" s="24"/>
      <c r="V4" s="24"/>
      <c r="W4" s="20"/>
      <c r="X4" s="33"/>
    </row>
    <row r="5" spans="13:26" s="22" customFormat="1" ht="27.75" customHeight="1" thickBot="1" x14ac:dyDescent="0.25">
      <c r="M5" s="250"/>
      <c r="N5" s="250"/>
      <c r="O5" s="251"/>
      <c r="P5" s="251"/>
      <c r="Q5" s="252"/>
      <c r="R5" s="253"/>
      <c r="S5" s="1555" t="s">
        <v>27</v>
      </c>
      <c r="T5" s="1556"/>
      <c r="U5" s="1556"/>
      <c r="V5" s="1556"/>
      <c r="W5" s="1557"/>
      <c r="X5" s="23"/>
    </row>
    <row r="6" spans="13:26" s="22" customFormat="1" ht="246" customHeight="1" thickBot="1" x14ac:dyDescent="0.25">
      <c r="M6" s="1563" t="s">
        <v>219</v>
      </c>
      <c r="N6" s="1564"/>
      <c r="O6" s="1564"/>
      <c r="P6" s="1564"/>
      <c r="Q6" s="1564"/>
      <c r="R6" s="254" t="s">
        <v>5</v>
      </c>
      <c r="S6" s="1558" t="s">
        <v>1601</v>
      </c>
      <c r="T6" s="1559"/>
      <c r="U6" s="1559"/>
      <c r="V6" s="1559"/>
      <c r="W6" s="1560"/>
      <c r="X6" s="23"/>
    </row>
    <row r="7" spans="13:26" s="22" customFormat="1" ht="15.75" thickBot="1" x14ac:dyDescent="0.25">
      <c r="M7" s="255"/>
      <c r="N7" s="255"/>
      <c r="O7" s="255"/>
      <c r="P7" s="255"/>
      <c r="Q7" s="255"/>
      <c r="R7" s="256"/>
      <c r="S7" s="255"/>
      <c r="T7" s="255"/>
      <c r="U7" s="255"/>
      <c r="V7" s="255"/>
      <c r="W7" s="257"/>
      <c r="X7" s="23"/>
    </row>
    <row r="8" spans="13:26" s="22" customFormat="1" ht="37.5" customHeight="1" thickBot="1" x14ac:dyDescent="0.25">
      <c r="M8" s="1561" t="s">
        <v>539</v>
      </c>
      <c r="N8" s="1562"/>
      <c r="O8" s="1562"/>
      <c r="P8" s="1562"/>
      <c r="Q8" s="1562"/>
      <c r="R8" s="1562"/>
      <c r="S8" s="1562"/>
      <c r="T8" s="1562"/>
      <c r="U8" s="1562"/>
      <c r="V8" s="1562"/>
      <c r="W8" s="1562"/>
      <c r="X8" s="258"/>
    </row>
    <row r="9" spans="13:26" s="177" customFormat="1" ht="34.5" customHeight="1" thickBot="1" x14ac:dyDescent="0.25">
      <c r="M9" s="1555" t="s">
        <v>176</v>
      </c>
      <c r="N9" s="1557"/>
      <c r="O9" s="259" t="s">
        <v>177</v>
      </c>
      <c r="P9" s="260" t="s">
        <v>178</v>
      </c>
      <c r="Q9" s="1555" t="s">
        <v>235</v>
      </c>
      <c r="R9" s="1556"/>
      <c r="S9" s="1556"/>
      <c r="T9" s="1556"/>
      <c r="U9" s="1556"/>
      <c r="V9" s="1556"/>
      <c r="W9" s="1557"/>
      <c r="X9" s="23"/>
      <c r="Y9" s="22"/>
      <c r="Z9" s="22"/>
    </row>
    <row r="10" spans="13:26" s="177" customFormat="1" ht="27" customHeight="1" x14ac:dyDescent="0.2">
      <c r="M10" s="1565" t="s">
        <v>2</v>
      </c>
      <c r="N10" s="1566"/>
      <c r="O10" s="261" t="s">
        <v>46</v>
      </c>
      <c r="P10" s="262" t="s">
        <v>778</v>
      </c>
      <c r="Q10" s="1567"/>
      <c r="R10" s="1568"/>
      <c r="S10" s="1568"/>
      <c r="T10" s="1568"/>
      <c r="U10" s="1568"/>
      <c r="V10" s="1568"/>
      <c r="W10" s="1569"/>
      <c r="X10" s="23"/>
      <c r="Y10" s="22"/>
      <c r="Z10" s="22"/>
    </row>
    <row r="11" spans="13:26" s="177" customFormat="1" ht="27" customHeight="1" x14ac:dyDescent="0.2">
      <c r="M11" s="1570" t="s">
        <v>12</v>
      </c>
      <c r="N11" s="1571"/>
      <c r="O11" s="263" t="s">
        <v>46</v>
      </c>
      <c r="P11" s="263" t="s">
        <v>778</v>
      </c>
      <c r="Q11" s="1572"/>
      <c r="R11" s="1573"/>
      <c r="S11" s="1573"/>
      <c r="T11" s="1573"/>
      <c r="U11" s="1573"/>
      <c r="V11" s="1573"/>
      <c r="W11" s="1574"/>
      <c r="X11" s="23"/>
      <c r="Y11" s="22"/>
      <c r="Z11" s="22"/>
    </row>
    <row r="12" spans="13:26" s="177" customFormat="1" ht="27" customHeight="1" x14ac:dyDescent="0.2">
      <c r="M12" s="1570" t="s">
        <v>229</v>
      </c>
      <c r="N12" s="1571"/>
      <c r="O12" s="264" t="s">
        <v>46</v>
      </c>
      <c r="P12" s="265" t="s">
        <v>778</v>
      </c>
      <c r="Q12" s="1572"/>
      <c r="R12" s="1573"/>
      <c r="S12" s="1573"/>
      <c r="T12" s="1573"/>
      <c r="U12" s="1573"/>
      <c r="V12" s="1573"/>
      <c r="W12" s="1574"/>
      <c r="X12" s="23"/>
      <c r="Y12" s="22"/>
      <c r="Z12" s="22"/>
    </row>
    <row r="13" spans="13:26" s="177" customFormat="1" ht="27" customHeight="1" x14ac:dyDescent="0.2">
      <c r="M13" s="1570" t="s">
        <v>3</v>
      </c>
      <c r="N13" s="1571"/>
      <c r="O13" s="266" t="s">
        <v>6</v>
      </c>
      <c r="P13" s="266" t="s">
        <v>6</v>
      </c>
      <c r="Q13" s="1575" t="s">
        <v>1602</v>
      </c>
      <c r="R13" s="1576"/>
      <c r="S13" s="1576"/>
      <c r="T13" s="1576"/>
      <c r="U13" s="1576"/>
      <c r="V13" s="1576"/>
      <c r="W13" s="1576"/>
      <c r="X13" s="258"/>
      <c r="Y13" s="22"/>
      <c r="Z13" s="22"/>
    </row>
    <row r="14" spans="13:26" s="177" customFormat="1" ht="27" customHeight="1" x14ac:dyDescent="0.2">
      <c r="M14" s="1570" t="s">
        <v>4</v>
      </c>
      <c r="N14" s="1571"/>
      <c r="O14" s="266" t="s">
        <v>778</v>
      </c>
      <c r="P14" s="266" t="s">
        <v>778</v>
      </c>
      <c r="Q14" s="1577"/>
      <c r="R14" s="1578"/>
      <c r="S14" s="1578"/>
      <c r="T14" s="1578"/>
      <c r="U14" s="1578"/>
      <c r="V14" s="1578"/>
      <c r="W14" s="1579"/>
      <c r="X14" s="23"/>
      <c r="Y14" s="22"/>
      <c r="Z14" s="22"/>
    </row>
    <row r="15" spans="13:26" s="177" customFormat="1" ht="118.5" customHeight="1" x14ac:dyDescent="0.2">
      <c r="M15" s="1580" t="s">
        <v>179</v>
      </c>
      <c r="N15" s="1581"/>
      <c r="O15" s="266" t="s">
        <v>6</v>
      </c>
      <c r="P15" s="266" t="s">
        <v>6</v>
      </c>
      <c r="Q15" s="1582" t="s">
        <v>1603</v>
      </c>
      <c r="R15" s="1583"/>
      <c r="S15" s="1583"/>
      <c r="T15" s="1583"/>
      <c r="U15" s="1583"/>
      <c r="V15" s="1583"/>
      <c r="W15" s="1584"/>
      <c r="X15" s="23"/>
      <c r="Y15" s="22"/>
      <c r="Z15" s="22"/>
    </row>
    <row r="16" spans="13:26" s="177" customFormat="1" ht="57" customHeight="1" x14ac:dyDescent="0.2">
      <c r="M16" s="1580" t="s">
        <v>180</v>
      </c>
      <c r="N16" s="1581"/>
      <c r="O16" s="266" t="s">
        <v>6</v>
      </c>
      <c r="P16" s="266" t="s">
        <v>6</v>
      </c>
      <c r="Q16" s="1582" t="s">
        <v>1604</v>
      </c>
      <c r="R16" s="1583"/>
      <c r="S16" s="1583"/>
      <c r="T16" s="1583"/>
      <c r="U16" s="1583"/>
      <c r="V16" s="1583"/>
      <c r="W16" s="1584"/>
      <c r="X16" s="23"/>
      <c r="Y16" s="22"/>
      <c r="Z16" s="22"/>
    </row>
    <row r="17" spans="13:26" s="177" customFormat="1" ht="57" customHeight="1" thickBot="1" x14ac:dyDescent="0.25">
      <c r="M17" s="1585" t="s">
        <v>218</v>
      </c>
      <c r="N17" s="1586"/>
      <c r="O17" s="267" t="s">
        <v>6</v>
      </c>
      <c r="P17" s="267" t="s">
        <v>6</v>
      </c>
      <c r="Q17" s="1587" t="s">
        <v>1605</v>
      </c>
      <c r="R17" s="1588"/>
      <c r="S17" s="1588"/>
      <c r="T17" s="1588"/>
      <c r="U17" s="1588"/>
      <c r="V17" s="1588"/>
      <c r="W17" s="1589"/>
      <c r="X17" s="23"/>
      <c r="Y17" s="22"/>
      <c r="Z17" s="22"/>
    </row>
    <row r="18" spans="13:26" s="177" customFormat="1" ht="15.75" thickBot="1" x14ac:dyDescent="0.25">
      <c r="M18" s="1590"/>
      <c r="N18" s="1590"/>
      <c r="O18" s="268"/>
      <c r="P18" s="268"/>
      <c r="Q18" s="1591"/>
      <c r="R18" s="1591"/>
      <c r="S18" s="22"/>
      <c r="T18" s="22"/>
      <c r="U18" s="22"/>
      <c r="V18" s="22"/>
      <c r="W18" s="22"/>
      <c r="X18" s="23"/>
      <c r="Y18" s="22"/>
      <c r="Z18" s="22"/>
    </row>
    <row r="19" spans="13:26" s="177" customFormat="1" ht="25.5" customHeight="1" thickBot="1" x14ac:dyDescent="0.25">
      <c r="M19" s="1592" t="s">
        <v>181</v>
      </c>
      <c r="N19" s="1593"/>
      <c r="O19" s="1593"/>
      <c r="P19" s="1593"/>
      <c r="Q19" s="1593"/>
      <c r="R19" s="1593"/>
      <c r="S19" s="1593"/>
      <c r="T19" s="1593"/>
      <c r="U19" s="1593"/>
      <c r="V19" s="1593"/>
      <c r="W19" s="1594"/>
      <c r="X19" s="23"/>
      <c r="Y19" s="22"/>
      <c r="Z19" s="22"/>
    </row>
    <row r="20" spans="13:26" s="177" customFormat="1" ht="131.25" customHeight="1" thickBot="1" x14ac:dyDescent="0.25">
      <c r="M20" s="1595"/>
      <c r="N20" s="1596"/>
      <c r="O20" s="1596"/>
      <c r="P20" s="1596"/>
      <c r="Q20" s="1596"/>
      <c r="R20" s="1596"/>
      <c r="S20" s="1596"/>
      <c r="T20" s="1596"/>
      <c r="U20" s="1596"/>
      <c r="V20" s="1596"/>
      <c r="W20" s="1597"/>
      <c r="X20" s="23"/>
      <c r="Y20" s="22"/>
      <c r="Z20" s="22"/>
    </row>
    <row r="21" spans="13:26" s="177" customFormat="1" ht="31.5" customHeight="1" x14ac:dyDescent="0.2">
      <c r="M21" s="269"/>
      <c r="N21" s="269"/>
      <c r="O21" s="269"/>
      <c r="P21" s="269"/>
      <c r="Q21" s="269"/>
      <c r="R21" s="269"/>
      <c r="S21" s="269"/>
      <c r="T21" s="269"/>
      <c r="U21" s="269"/>
      <c r="V21" s="269"/>
      <c r="W21" s="269"/>
      <c r="X21" s="23"/>
      <c r="Y21" s="22"/>
      <c r="Z21" s="22"/>
    </row>
    <row r="22" spans="13:26" s="177" customFormat="1" ht="25.5" x14ac:dyDescent="0.35">
      <c r="M22" s="314" t="s">
        <v>102</v>
      </c>
      <c r="N22" s="22"/>
      <c r="O22" s="22"/>
      <c r="P22" s="22"/>
      <c r="Q22" s="22"/>
      <c r="R22" s="22"/>
      <c r="S22" s="22"/>
      <c r="T22" s="22"/>
      <c r="U22" s="22"/>
      <c r="V22" s="23"/>
      <c r="W22" s="22"/>
      <c r="X22" s="23"/>
      <c r="Y22" s="22"/>
      <c r="Z22" s="22"/>
    </row>
    <row r="23" spans="13:26" s="177" customFormat="1" ht="2.25" customHeight="1" x14ac:dyDescent="0.2">
      <c r="M23" s="22"/>
      <c r="N23" s="22"/>
      <c r="O23" s="22"/>
      <c r="P23" s="22"/>
      <c r="Q23" s="22"/>
      <c r="R23" s="22"/>
      <c r="S23" s="22"/>
      <c r="T23" s="22"/>
      <c r="U23" s="22"/>
      <c r="V23" s="23"/>
      <c r="W23" s="22"/>
      <c r="X23" s="23"/>
      <c r="Y23" s="22"/>
      <c r="Z23" s="22"/>
    </row>
    <row r="24" spans="13:26" s="177" customFormat="1" ht="9.75" customHeight="1" x14ac:dyDescent="0.2">
      <c r="M24" s="22"/>
      <c r="N24" s="22"/>
      <c r="O24" s="22"/>
      <c r="P24" s="22"/>
      <c r="Q24" s="22"/>
      <c r="R24" s="22"/>
      <c r="S24" s="22"/>
      <c r="T24" s="22"/>
      <c r="U24" s="22"/>
      <c r="V24" s="22"/>
      <c r="W24" s="22"/>
      <c r="X24" s="23"/>
      <c r="Y24" s="22"/>
      <c r="Z24" s="22"/>
    </row>
    <row r="25" spans="13:26" s="177" customFormat="1" ht="30.75" customHeight="1" x14ac:dyDescent="0.2">
      <c r="M25" s="1598" t="s">
        <v>159</v>
      </c>
      <c r="N25" s="1554"/>
      <c r="O25" s="1554"/>
      <c r="P25" s="1554"/>
      <c r="Q25" s="1554"/>
      <c r="R25" s="1554"/>
      <c r="S25" s="1554"/>
      <c r="T25" s="1554"/>
      <c r="U25" s="1554"/>
      <c r="V25" s="1554"/>
      <c r="W25" s="1554"/>
      <c r="X25" s="23"/>
      <c r="Y25" s="22"/>
      <c r="Z25" s="22"/>
    </row>
    <row r="26" spans="13:26" s="177" customFormat="1" ht="7.5" customHeight="1" x14ac:dyDescent="0.2">
      <c r="M26" s="270"/>
      <c r="N26" s="271"/>
      <c r="O26" s="271"/>
      <c r="P26" s="271"/>
      <c r="Q26" s="272"/>
      <c r="R26" s="272"/>
      <c r="S26" s="272"/>
      <c r="T26" s="272"/>
      <c r="U26" s="272"/>
      <c r="V26" s="272"/>
      <c r="W26" s="273"/>
      <c r="X26" s="23"/>
      <c r="Y26" s="22"/>
      <c r="Z26" s="22"/>
    </row>
    <row r="27" spans="13:26" s="177" customFormat="1" ht="15.75" thickBot="1" x14ac:dyDescent="0.25">
      <c r="M27" s="274"/>
      <c r="N27" s="274"/>
      <c r="O27" s="275"/>
      <c r="P27" s="275"/>
      <c r="Q27" s="275"/>
      <c r="R27" s="275"/>
      <c r="S27" s="275"/>
      <c r="T27" s="275"/>
      <c r="U27" s="275"/>
      <c r="V27" s="275"/>
      <c r="W27" s="276"/>
      <c r="X27" s="23"/>
      <c r="Y27" s="22"/>
      <c r="Z27" s="22"/>
    </row>
    <row r="28" spans="13:26" s="177" customFormat="1" ht="25.5" customHeight="1" thickBot="1" x14ac:dyDescent="0.25">
      <c r="M28" s="277"/>
      <c r="N28" s="278"/>
      <c r="O28" s="279" t="s">
        <v>32</v>
      </c>
      <c r="P28" s="280" t="s">
        <v>33</v>
      </c>
      <c r="Q28" s="1599" t="s">
        <v>1</v>
      </c>
      <c r="R28" s="1600"/>
      <c r="S28" s="1600"/>
      <c r="T28" s="1600"/>
      <c r="U28" s="1601"/>
      <c r="V28" s="1601"/>
      <c r="W28" s="1602"/>
      <c r="X28" s="23"/>
      <c r="Y28" s="22"/>
      <c r="Z28" s="22"/>
    </row>
    <row r="29" spans="13:26" s="177" customFormat="1" ht="111" customHeight="1" thickBot="1" x14ac:dyDescent="0.25">
      <c r="M29" s="1606" t="s">
        <v>62</v>
      </c>
      <c r="N29" s="1607"/>
      <c r="O29" s="853" t="str">
        <f>IFERROR(R6,"")</f>
        <v>Yes</v>
      </c>
      <c r="P29" s="573" t="s">
        <v>46</v>
      </c>
      <c r="Q29" s="1603"/>
      <c r="R29" s="1603"/>
      <c r="S29" s="1603"/>
      <c r="T29" s="1603"/>
      <c r="U29" s="1604"/>
      <c r="V29" s="1604"/>
      <c r="W29" s="1605"/>
      <c r="X29" s="23"/>
      <c r="Y29" s="22"/>
      <c r="Z29" s="22"/>
    </row>
    <row r="30" spans="13:26" s="177" customFormat="1" ht="15.75" thickBot="1" x14ac:dyDescent="0.25">
      <c r="M30" s="281"/>
      <c r="N30" s="282"/>
      <c r="O30" s="283"/>
      <c r="P30" s="284"/>
      <c r="Q30" s="285"/>
      <c r="R30" s="286"/>
      <c r="S30" s="287"/>
      <c r="T30" s="288"/>
      <c r="U30" s="289"/>
      <c r="V30" s="290"/>
      <c r="W30" s="291"/>
      <c r="X30" s="23"/>
      <c r="Y30" s="22"/>
      <c r="Z30" s="22"/>
    </row>
    <row r="31" spans="13:26" s="177" customFormat="1" ht="21.75" customHeight="1" x14ac:dyDescent="0.2">
      <c r="M31" s="292" t="s">
        <v>265</v>
      </c>
      <c r="N31" s="292"/>
      <c r="O31" s="292"/>
      <c r="P31" s="292"/>
      <c r="Q31" s="293"/>
      <c r="R31" s="293"/>
      <c r="S31" s="294"/>
      <c r="T31" s="295"/>
      <c r="U31" s="295"/>
      <c r="V31" s="295"/>
      <c r="W31" s="296"/>
      <c r="X31" s="23"/>
      <c r="Y31" s="22"/>
      <c r="Z31" s="22"/>
    </row>
    <row r="32" spans="13:26" s="177" customFormat="1" ht="57" customHeight="1" thickBot="1" x14ac:dyDescent="0.25">
      <c r="M32" s="1608" t="s">
        <v>220</v>
      </c>
      <c r="N32" s="1608"/>
      <c r="O32" s="1608"/>
      <c r="P32" s="1608"/>
      <c r="Q32" s="1608"/>
      <c r="R32" s="1608"/>
      <c r="S32" s="1608"/>
      <c r="T32" s="1608"/>
      <c r="U32" s="1608"/>
      <c r="V32" s="1608"/>
      <c r="W32" s="1609"/>
      <c r="X32" s="23"/>
      <c r="Y32" s="22"/>
      <c r="Z32" s="22"/>
    </row>
    <row r="33" spans="13:26" s="177" customFormat="1" ht="35.25" customHeight="1" thickBot="1" x14ac:dyDescent="0.25">
      <c r="M33" s="1610" t="s">
        <v>34</v>
      </c>
      <c r="N33" s="1611"/>
      <c r="O33" s="245"/>
      <c r="P33" s="297"/>
      <c r="Q33" s="297"/>
      <c r="R33" s="297"/>
      <c r="S33" s="297"/>
      <c r="T33" s="297"/>
      <c r="U33" s="298"/>
      <c r="V33" s="297"/>
      <c r="W33" s="299"/>
      <c r="X33" s="23"/>
      <c r="Y33" s="22"/>
      <c r="Z33" s="22"/>
    </row>
    <row r="34" spans="13:26" s="177" customFormat="1" ht="138.75" customHeight="1" thickBot="1" x14ac:dyDescent="0.25">
      <c r="M34" s="1599" t="s">
        <v>35</v>
      </c>
      <c r="N34" s="1612"/>
      <c r="O34" s="300" t="s">
        <v>63</v>
      </c>
      <c r="P34" s="300" t="s">
        <v>68</v>
      </c>
      <c r="Q34" s="301" t="s">
        <v>41</v>
      </c>
      <c r="R34" s="1612" t="s">
        <v>42</v>
      </c>
      <c r="S34" s="1600"/>
      <c r="T34" s="831" t="s">
        <v>541</v>
      </c>
      <c r="U34" s="831" t="s">
        <v>540</v>
      </c>
      <c r="V34" s="300" t="s">
        <v>41</v>
      </c>
      <c r="W34" s="302" t="s">
        <v>42</v>
      </c>
      <c r="X34" s="23"/>
      <c r="Y34" s="22"/>
      <c r="Z34" s="22"/>
    </row>
    <row r="35" spans="13:26" s="177" customFormat="1" ht="22.5" customHeight="1" x14ac:dyDescent="0.2">
      <c r="M35" s="1613" t="s">
        <v>2</v>
      </c>
      <c r="N35" s="1614"/>
      <c r="O35" s="303"/>
      <c r="P35" s="303"/>
      <c r="Q35" s="304" t="str">
        <f t="shared" ref="Q35:Q41" si="0">IF(O35="",IF(P35="","",O35-P35),O35-P35)</f>
        <v/>
      </c>
      <c r="R35" s="1615"/>
      <c r="S35" s="1616"/>
      <c r="T35" s="303"/>
      <c r="U35" s="303"/>
      <c r="V35" s="304" t="str">
        <f t="shared" ref="V35:V41" si="1">IF(T35="",IF(U35="","",T35-U35),T35-U35)</f>
        <v/>
      </c>
      <c r="W35" s="246"/>
      <c r="X35" s="23"/>
      <c r="Y35" s="22"/>
      <c r="Z35" s="22"/>
    </row>
    <row r="36" spans="13:26" s="177" customFormat="1" ht="22.5" customHeight="1" x14ac:dyDescent="0.2">
      <c r="M36" s="1617" t="s">
        <v>12</v>
      </c>
      <c r="N36" s="1618"/>
      <c r="O36" s="305"/>
      <c r="P36" s="305"/>
      <c r="Q36" s="304" t="str">
        <f t="shared" si="0"/>
        <v/>
      </c>
      <c r="R36" s="1619"/>
      <c r="S36" s="1620"/>
      <c r="T36" s="305"/>
      <c r="U36" s="305"/>
      <c r="V36" s="304" t="str">
        <f t="shared" si="1"/>
        <v/>
      </c>
      <c r="W36" s="247"/>
      <c r="X36" s="23"/>
      <c r="Y36" s="22"/>
      <c r="Z36" s="22"/>
    </row>
    <row r="37" spans="13:26" s="177" customFormat="1" ht="22.5" customHeight="1" x14ac:dyDescent="0.2">
      <c r="M37" s="1617" t="s">
        <v>229</v>
      </c>
      <c r="N37" s="1618"/>
      <c r="O37" s="305"/>
      <c r="P37" s="305"/>
      <c r="Q37" s="304" t="str">
        <f t="shared" si="0"/>
        <v/>
      </c>
      <c r="R37" s="1619"/>
      <c r="S37" s="1620"/>
      <c r="T37" s="305"/>
      <c r="U37" s="305"/>
      <c r="V37" s="304" t="str">
        <f t="shared" si="1"/>
        <v/>
      </c>
      <c r="W37" s="247"/>
      <c r="X37" s="23"/>
      <c r="Y37" s="22"/>
      <c r="Z37" s="22"/>
    </row>
    <row r="38" spans="13:26" s="177" customFormat="1" ht="22.5" customHeight="1" x14ac:dyDescent="0.2">
      <c r="M38" s="1617" t="s">
        <v>3</v>
      </c>
      <c r="N38" s="1618"/>
      <c r="O38" s="305"/>
      <c r="P38" s="305"/>
      <c r="Q38" s="304" t="str">
        <f t="shared" si="0"/>
        <v/>
      </c>
      <c r="R38" s="1619"/>
      <c r="S38" s="1620"/>
      <c r="T38" s="305"/>
      <c r="U38" s="305"/>
      <c r="V38" s="304" t="str">
        <f t="shared" si="1"/>
        <v/>
      </c>
      <c r="W38" s="247"/>
      <c r="X38" s="23"/>
      <c r="Y38" s="22"/>
      <c r="Z38" s="22"/>
    </row>
    <row r="39" spans="13:26" s="177" customFormat="1" ht="22.5" customHeight="1" x14ac:dyDescent="0.2">
      <c r="M39" s="1617" t="s">
        <v>4</v>
      </c>
      <c r="N39" s="1618"/>
      <c r="O39" s="305"/>
      <c r="P39" s="305"/>
      <c r="Q39" s="304" t="str">
        <f t="shared" si="0"/>
        <v/>
      </c>
      <c r="R39" s="1619"/>
      <c r="S39" s="1620"/>
      <c r="T39" s="305"/>
      <c r="U39" s="305"/>
      <c r="V39" s="304" t="str">
        <f t="shared" si="1"/>
        <v/>
      </c>
      <c r="W39" s="247"/>
      <c r="X39" s="23"/>
      <c r="Y39" s="22"/>
      <c r="Z39" s="22"/>
    </row>
    <row r="40" spans="13:26" s="177" customFormat="1" ht="22.5" customHeight="1" x14ac:dyDescent="0.2">
      <c r="M40" s="1621" t="s">
        <v>179</v>
      </c>
      <c r="N40" s="1622"/>
      <c r="O40" s="306"/>
      <c r="P40" s="306"/>
      <c r="Q40" s="304" t="str">
        <f t="shared" si="0"/>
        <v/>
      </c>
      <c r="R40" s="1629"/>
      <c r="S40" s="1630"/>
      <c r="T40" s="306"/>
      <c r="U40" s="306"/>
      <c r="V40" s="304" t="str">
        <f t="shared" si="1"/>
        <v/>
      </c>
      <c r="W40" s="248"/>
      <c r="X40" s="23"/>
      <c r="Y40" s="22"/>
      <c r="Z40" s="22"/>
    </row>
    <row r="41" spans="13:26" s="177" customFormat="1" ht="22.5" customHeight="1" thickBot="1" x14ac:dyDescent="0.25">
      <c r="M41" s="1621" t="s">
        <v>230</v>
      </c>
      <c r="N41" s="1622"/>
      <c r="O41" s="306"/>
      <c r="P41" s="306"/>
      <c r="Q41" s="304" t="str">
        <f t="shared" si="0"/>
        <v/>
      </c>
      <c r="R41" s="1623"/>
      <c r="S41" s="1624"/>
      <c r="T41" s="306"/>
      <c r="U41" s="306"/>
      <c r="V41" s="361" t="str">
        <f t="shared" si="1"/>
        <v/>
      </c>
      <c r="W41" s="248"/>
      <c r="X41" s="23"/>
      <c r="Y41" s="22"/>
      <c r="Z41" s="22"/>
    </row>
    <row r="42" spans="13:26" s="177" customFormat="1" ht="22.5" customHeight="1" thickBot="1" x14ac:dyDescent="0.25">
      <c r="M42" s="1625" t="s">
        <v>60</v>
      </c>
      <c r="N42" s="1626"/>
      <c r="O42" s="307">
        <f>SUM(O35:O41)</f>
        <v>0</v>
      </c>
      <c r="P42" s="307">
        <f>SUM(P35:P41)</f>
        <v>0</v>
      </c>
      <c r="Q42" s="307">
        <f>SUM(Q35:Q41)</f>
        <v>0</v>
      </c>
      <c r="R42" s="1627"/>
      <c r="S42" s="1628"/>
      <c r="T42" s="307">
        <f>SUM(T35:T41)</f>
        <v>0</v>
      </c>
      <c r="U42" s="307">
        <f>SUM(U35:U41)</f>
        <v>0</v>
      </c>
      <c r="V42" s="362">
        <f>SUM(V35:V41)</f>
        <v>0</v>
      </c>
      <c r="W42" s="249"/>
      <c r="X42" s="23"/>
      <c r="Y42" s="22"/>
      <c r="Z42" s="22"/>
    </row>
    <row r="43" spans="13:26" s="177" customFormat="1" ht="15.75" thickBot="1" x14ac:dyDescent="0.25">
      <c r="M43" s="308"/>
      <c r="N43" s="309"/>
      <c r="O43" s="310"/>
      <c r="P43" s="310"/>
      <c r="Q43" s="310"/>
      <c r="R43" s="311"/>
      <c r="S43" s="312"/>
      <c r="T43" s="310"/>
      <c r="U43" s="310"/>
      <c r="V43" s="363"/>
      <c r="W43" s="311"/>
      <c r="X43" s="23"/>
      <c r="Y43" s="22"/>
      <c r="Z43" s="22"/>
    </row>
    <row r="44" spans="13:26" s="177" customFormat="1" ht="43.5" customHeight="1" thickBot="1" x14ac:dyDescent="0.25">
      <c r="M44" s="1631" t="s">
        <v>221</v>
      </c>
      <c r="N44" s="1632"/>
      <c r="O44" s="1632"/>
      <c r="P44" s="1632"/>
      <c r="Q44" s="1632"/>
      <c r="R44" s="1632"/>
      <c r="S44" s="1632"/>
      <c r="T44" s="1632"/>
      <c r="U44" s="1632"/>
      <c r="V44" s="1632"/>
      <c r="W44" s="1633"/>
      <c r="X44" s="23"/>
      <c r="Y44" s="22"/>
      <c r="Z44" s="22"/>
    </row>
    <row r="45" spans="13:26" s="177" customFormat="1" ht="33.75" customHeight="1" thickBot="1" x14ac:dyDescent="0.25">
      <c r="M45" s="1634" t="s">
        <v>176</v>
      </c>
      <c r="N45" s="1635"/>
      <c r="O45" s="313" t="s">
        <v>177</v>
      </c>
      <c r="P45" s="313" t="s">
        <v>178</v>
      </c>
      <c r="Q45" s="1634" t="s">
        <v>235</v>
      </c>
      <c r="R45" s="1636"/>
      <c r="S45" s="1636"/>
      <c r="T45" s="1636"/>
      <c r="U45" s="1636"/>
      <c r="V45" s="1636"/>
      <c r="W45" s="1635"/>
      <c r="X45" s="23"/>
      <c r="Y45" s="22"/>
      <c r="Z45" s="22"/>
    </row>
    <row r="46" spans="13:26" s="177" customFormat="1" ht="26.25" customHeight="1" x14ac:dyDescent="0.2">
      <c r="M46" s="1613" t="s">
        <v>2</v>
      </c>
      <c r="N46" s="1614"/>
      <c r="O46" s="261" t="s">
        <v>46</v>
      </c>
      <c r="P46" s="262" t="s">
        <v>46</v>
      </c>
      <c r="Q46" s="1637"/>
      <c r="R46" s="1638"/>
      <c r="S46" s="1638"/>
      <c r="T46" s="1638"/>
      <c r="U46" s="1638"/>
      <c r="V46" s="1638"/>
      <c r="W46" s="1639"/>
      <c r="X46" s="23"/>
      <c r="Y46" s="22"/>
      <c r="Z46" s="22"/>
    </row>
    <row r="47" spans="13:26" s="177" customFormat="1" ht="26.25" customHeight="1" x14ac:dyDescent="0.2">
      <c r="M47" s="1617" t="s">
        <v>12</v>
      </c>
      <c r="N47" s="1618"/>
      <c r="O47" s="263" t="s">
        <v>46</v>
      </c>
      <c r="P47" s="263" t="s">
        <v>46</v>
      </c>
      <c r="Q47" s="1577"/>
      <c r="R47" s="1578"/>
      <c r="S47" s="1578"/>
      <c r="T47" s="1578"/>
      <c r="U47" s="1578"/>
      <c r="V47" s="1578"/>
      <c r="W47" s="1579"/>
      <c r="X47" s="23"/>
      <c r="Y47" s="22"/>
      <c r="Z47" s="22"/>
    </row>
    <row r="48" spans="13:26" s="177" customFormat="1" ht="26.25" customHeight="1" x14ac:dyDescent="0.2">
      <c r="M48" s="1617" t="s">
        <v>229</v>
      </c>
      <c r="N48" s="1618"/>
      <c r="O48" s="264" t="s">
        <v>46</v>
      </c>
      <c r="P48" s="265" t="s">
        <v>46</v>
      </c>
      <c r="Q48" s="1577"/>
      <c r="R48" s="1578"/>
      <c r="S48" s="1578"/>
      <c r="T48" s="1578"/>
      <c r="U48" s="1578"/>
      <c r="V48" s="1578"/>
      <c r="W48" s="1579"/>
      <c r="X48" s="23"/>
      <c r="Y48" s="22"/>
      <c r="Z48" s="22"/>
    </row>
    <row r="49" spans="1:26" s="177" customFormat="1" ht="26.25" customHeight="1" x14ac:dyDescent="0.2">
      <c r="M49" s="1617" t="s">
        <v>3</v>
      </c>
      <c r="N49" s="1618"/>
      <c r="O49" s="266" t="s">
        <v>46</v>
      </c>
      <c r="P49" s="266" t="s">
        <v>46</v>
      </c>
      <c r="Q49" s="1577"/>
      <c r="R49" s="1578"/>
      <c r="S49" s="1578"/>
      <c r="T49" s="1578"/>
      <c r="U49" s="1578"/>
      <c r="V49" s="1578"/>
      <c r="W49" s="1579"/>
      <c r="X49" s="23"/>
      <c r="Y49" s="22"/>
      <c r="Z49" s="22"/>
    </row>
    <row r="50" spans="1:26" s="177" customFormat="1" ht="26.25" customHeight="1" x14ac:dyDescent="0.2">
      <c r="M50" s="1617" t="s">
        <v>4</v>
      </c>
      <c r="N50" s="1618"/>
      <c r="O50" s="266" t="s">
        <v>46</v>
      </c>
      <c r="P50" s="266" t="s">
        <v>46</v>
      </c>
      <c r="Q50" s="1577"/>
      <c r="R50" s="1578"/>
      <c r="S50" s="1578"/>
      <c r="T50" s="1578"/>
      <c r="U50" s="1578"/>
      <c r="V50" s="1578"/>
      <c r="W50" s="1579"/>
      <c r="X50" s="23"/>
      <c r="Y50" s="22"/>
      <c r="Z50" s="22"/>
    </row>
    <row r="51" spans="1:26" s="177" customFormat="1" ht="26.25" customHeight="1" x14ac:dyDescent="0.2">
      <c r="M51" s="1617" t="s">
        <v>179</v>
      </c>
      <c r="N51" s="1643"/>
      <c r="O51" s="266" t="s">
        <v>46</v>
      </c>
      <c r="P51" s="266" t="s">
        <v>46</v>
      </c>
      <c r="Q51" s="1572"/>
      <c r="R51" s="1573"/>
      <c r="S51" s="1573"/>
      <c r="T51" s="1573"/>
      <c r="U51" s="1573"/>
      <c r="V51" s="1573"/>
      <c r="W51" s="1574"/>
      <c r="X51" s="23"/>
      <c r="Y51" s="22"/>
      <c r="Z51" s="22"/>
    </row>
    <row r="52" spans="1:26" s="177" customFormat="1" ht="26.25" customHeight="1" x14ac:dyDescent="0.2">
      <c r="M52" s="1644" t="s">
        <v>180</v>
      </c>
      <c r="N52" s="1645"/>
      <c r="O52" s="266" t="s">
        <v>46</v>
      </c>
      <c r="P52" s="266" t="s">
        <v>46</v>
      </c>
      <c r="Q52" s="1572"/>
      <c r="R52" s="1573"/>
      <c r="S52" s="1573"/>
      <c r="T52" s="1573"/>
      <c r="U52" s="1573"/>
      <c r="V52" s="1573"/>
      <c r="W52" s="1574"/>
      <c r="X52" s="23"/>
      <c r="Y52" s="22"/>
      <c r="Z52" s="22"/>
    </row>
    <row r="53" spans="1:26" s="177" customFormat="1" ht="26.25" customHeight="1" thickBot="1" x14ac:dyDescent="0.25">
      <c r="M53" s="1646" t="s">
        <v>218</v>
      </c>
      <c r="N53" s="1647"/>
      <c r="O53" s="267" t="s">
        <v>46</v>
      </c>
      <c r="P53" s="267" t="s">
        <v>46</v>
      </c>
      <c r="Q53" s="1648"/>
      <c r="R53" s="1649"/>
      <c r="S53" s="1649"/>
      <c r="T53" s="1649"/>
      <c r="U53" s="1649"/>
      <c r="V53" s="1649"/>
      <c r="W53" s="1650"/>
      <c r="X53" s="23"/>
      <c r="Y53" s="22"/>
      <c r="Z53" s="22"/>
    </row>
    <row r="54" spans="1:26" ht="14.25" x14ac:dyDescent="0.2">
      <c r="M54" s="38"/>
      <c r="N54" s="38"/>
      <c r="O54" s="36"/>
      <c r="P54" s="36"/>
      <c r="Q54" s="36"/>
      <c r="R54" s="37"/>
      <c r="S54" s="39"/>
      <c r="T54" s="36"/>
      <c r="U54" s="36"/>
      <c r="V54" s="36"/>
      <c r="W54" s="34"/>
    </row>
    <row r="55" spans="1:26" ht="15" thickBot="1" x14ac:dyDescent="0.25">
      <c r="M55" s="28"/>
      <c r="N55" s="40"/>
      <c r="O55" s="40"/>
      <c r="P55" s="40"/>
      <c r="Q55" s="40"/>
      <c r="R55" s="29"/>
      <c r="S55" s="41"/>
      <c r="T55" s="42"/>
      <c r="U55" s="43"/>
      <c r="V55" s="43"/>
      <c r="W55" s="127"/>
    </row>
    <row r="56" spans="1:26" ht="27.75" customHeight="1" thickBot="1" x14ac:dyDescent="0.25">
      <c r="M56" s="1631" t="s">
        <v>103</v>
      </c>
      <c r="N56" s="1632"/>
      <c r="O56" s="1632"/>
      <c r="P56" s="1632"/>
      <c r="Q56" s="1632"/>
      <c r="R56" s="1632"/>
      <c r="S56" s="1632"/>
      <c r="T56" s="1632"/>
      <c r="U56" s="1632"/>
      <c r="V56" s="1632"/>
      <c r="W56" s="1633"/>
    </row>
    <row r="57" spans="1:26" ht="129.75" customHeight="1" thickBot="1" x14ac:dyDescent="0.25">
      <c r="M57" s="1640"/>
      <c r="N57" s="1641"/>
      <c r="O57" s="1641"/>
      <c r="P57" s="1641"/>
      <c r="Q57" s="1641"/>
      <c r="R57" s="1641"/>
      <c r="S57" s="1641"/>
      <c r="T57" s="1641"/>
      <c r="U57" s="1641"/>
      <c r="V57" s="1641"/>
      <c r="W57" s="1642"/>
    </row>
    <row r="58" spans="1:26" x14ac:dyDescent="0.2">
      <c r="M58" s="3"/>
      <c r="N58" s="3"/>
      <c r="O58" s="3"/>
      <c r="P58" s="3"/>
      <c r="Q58" s="3"/>
      <c r="R58" s="128"/>
      <c r="S58" s="3"/>
      <c r="T58" s="3"/>
      <c r="U58" s="3"/>
      <c r="V58" s="3"/>
      <c r="W58" s="20"/>
    </row>
    <row r="61" spans="1:26" x14ac:dyDescent="0.2">
      <c r="A61" s="652"/>
      <c r="B61" s="652"/>
      <c r="C61" s="652"/>
      <c r="D61" s="652"/>
      <c r="E61" s="652"/>
      <c r="F61" s="652"/>
      <c r="G61" s="652"/>
      <c r="H61" s="652"/>
      <c r="I61" s="652"/>
      <c r="J61" s="652"/>
      <c r="K61" s="652"/>
      <c r="L61" s="652"/>
      <c r="M61" s="652"/>
      <c r="N61" s="652"/>
      <c r="O61" s="652"/>
    </row>
    <row r="62" spans="1:26" x14ac:dyDescent="0.2">
      <c r="A62" s="652"/>
      <c r="B62" s="652"/>
      <c r="C62" s="652"/>
      <c r="D62" s="652"/>
      <c r="E62" s="652"/>
      <c r="F62" s="652"/>
      <c r="G62" s="652"/>
      <c r="H62" s="652"/>
      <c r="I62" s="652"/>
      <c r="J62" s="652"/>
      <c r="K62" s="652"/>
      <c r="L62" s="652"/>
      <c r="M62" s="652"/>
      <c r="N62" s="652"/>
      <c r="O62" s="652"/>
    </row>
    <row r="63" spans="1:26" x14ac:dyDescent="0.2">
      <c r="A63" s="652"/>
      <c r="B63" s="652"/>
      <c r="C63" s="652"/>
      <c r="D63" s="652"/>
      <c r="E63" s="652"/>
      <c r="F63" s="652"/>
      <c r="G63" s="652"/>
      <c r="H63" s="652"/>
      <c r="I63" s="652"/>
      <c r="J63" s="652"/>
      <c r="K63" s="652"/>
      <c r="L63" s="652"/>
      <c r="M63" s="652"/>
      <c r="N63" s="652"/>
      <c r="O63" s="652"/>
    </row>
    <row r="64" spans="1:26" x14ac:dyDescent="0.2">
      <c r="A64" s="652"/>
      <c r="B64" s="652"/>
      <c r="C64" s="652"/>
      <c r="D64" s="652"/>
      <c r="E64" s="652"/>
      <c r="F64" s="652"/>
      <c r="G64" s="652"/>
      <c r="H64" s="652"/>
      <c r="I64" s="652"/>
      <c r="J64" s="652"/>
      <c r="K64" s="652"/>
      <c r="L64" s="652"/>
      <c r="M64" s="652"/>
      <c r="N64" s="652"/>
      <c r="O64" s="652"/>
    </row>
    <row r="65" spans="1:17" x14ac:dyDescent="0.2">
      <c r="A65" s="652"/>
      <c r="B65" s="652"/>
      <c r="C65" s="652"/>
      <c r="D65" s="652"/>
      <c r="E65" s="652"/>
      <c r="F65" s="652"/>
      <c r="G65" s="652"/>
      <c r="H65" s="652"/>
      <c r="I65" s="652"/>
      <c r="J65" s="652"/>
      <c r="K65" s="652"/>
      <c r="L65" s="652"/>
      <c r="M65" s="652"/>
      <c r="N65" s="652"/>
      <c r="O65" s="652"/>
      <c r="P65" s="101"/>
      <c r="Q65" s="101"/>
    </row>
    <row r="66" spans="1:17" x14ac:dyDescent="0.2">
      <c r="A66" s="652"/>
      <c r="B66" s="652"/>
      <c r="C66" s="652"/>
      <c r="D66" s="652"/>
      <c r="E66" s="652"/>
      <c r="F66" s="652"/>
      <c r="G66" s="652"/>
      <c r="H66" s="652"/>
      <c r="I66" s="652"/>
      <c r="J66" s="652"/>
      <c r="K66" s="652"/>
      <c r="L66" s="652"/>
      <c r="M66" s="652"/>
      <c r="N66" s="652"/>
      <c r="O66" s="652"/>
      <c r="P66" s="101"/>
      <c r="Q66" s="101"/>
    </row>
    <row r="67" spans="1:17" x14ac:dyDescent="0.2">
      <c r="A67" s="652"/>
      <c r="B67" s="652"/>
      <c r="C67" s="652"/>
      <c r="D67" s="652"/>
      <c r="E67" s="652"/>
      <c r="F67" s="652"/>
      <c r="G67" s="652"/>
      <c r="H67" s="652"/>
      <c r="I67" s="652"/>
      <c r="J67" s="652"/>
      <c r="K67" s="652"/>
      <c r="L67" s="652"/>
      <c r="M67" s="652"/>
      <c r="N67" s="652"/>
      <c r="O67" s="652"/>
      <c r="P67" s="101"/>
      <c r="Q67" s="101"/>
    </row>
    <row r="68" spans="1:17" x14ac:dyDescent="0.2">
      <c r="A68" s="652"/>
      <c r="B68" s="652"/>
      <c r="C68" s="652"/>
      <c r="D68" s="652"/>
      <c r="E68" s="652"/>
      <c r="F68" s="652"/>
      <c r="G68" s="652"/>
      <c r="H68" s="652"/>
      <c r="I68" s="652"/>
      <c r="J68" s="652"/>
      <c r="K68" s="652"/>
      <c r="L68" s="652"/>
      <c r="M68" s="652"/>
      <c r="N68" s="652"/>
      <c r="O68" s="652"/>
      <c r="P68" s="101"/>
      <c r="Q68" s="101"/>
    </row>
    <row r="69" spans="1:17" x14ac:dyDescent="0.2">
      <c r="A69" s="652"/>
      <c r="B69" s="652"/>
      <c r="C69" s="652"/>
      <c r="D69" s="652"/>
      <c r="E69" s="652"/>
      <c r="F69" s="652"/>
      <c r="G69" s="652"/>
      <c r="H69" s="652"/>
      <c r="I69" s="652"/>
      <c r="J69" s="652"/>
      <c r="K69" s="652"/>
      <c r="L69" s="652"/>
      <c r="M69" s="652"/>
      <c r="N69" s="652"/>
      <c r="O69" s="652"/>
      <c r="P69" s="101"/>
      <c r="Q69" s="101"/>
    </row>
    <row r="70" spans="1:17" x14ac:dyDescent="0.2">
      <c r="A70" s="533"/>
      <c r="B70" s="533"/>
      <c r="C70" s="533"/>
      <c r="D70" s="533"/>
      <c r="E70" s="533"/>
      <c r="F70" s="533"/>
      <c r="G70" s="533"/>
      <c r="H70" s="533"/>
      <c r="I70" s="533"/>
      <c r="J70" s="533"/>
      <c r="K70" s="533"/>
      <c r="L70" s="533"/>
      <c r="M70" s="533"/>
      <c r="N70" s="533"/>
      <c r="O70" s="652"/>
      <c r="P70" s="101"/>
      <c r="Q70" s="101"/>
    </row>
    <row r="71" spans="1:17" x14ac:dyDescent="0.2">
      <c r="A71" s="533"/>
      <c r="B71" s="533"/>
      <c r="C71" s="533"/>
      <c r="D71" s="533"/>
      <c r="E71" s="533"/>
      <c r="F71" s="533"/>
      <c r="G71" s="533"/>
      <c r="H71" s="533"/>
      <c r="I71" s="533"/>
      <c r="J71" s="533"/>
      <c r="K71" s="533"/>
      <c r="L71" s="533"/>
      <c r="M71" s="533"/>
      <c r="N71" s="533"/>
      <c r="O71" s="652"/>
      <c r="P71" s="101"/>
      <c r="Q71" s="101"/>
    </row>
    <row r="72" spans="1:17" hidden="1" x14ac:dyDescent="0.2">
      <c r="A72" s="533"/>
      <c r="B72" s="533"/>
      <c r="C72" s="533"/>
      <c r="D72" s="533"/>
      <c r="E72" s="533"/>
      <c r="F72" s="533"/>
      <c r="G72" s="533"/>
      <c r="H72" s="533"/>
      <c r="I72" s="533"/>
      <c r="J72" s="533"/>
      <c r="K72" s="533"/>
      <c r="L72" s="533"/>
      <c r="M72" s="533"/>
      <c r="N72" s="533"/>
      <c r="O72" s="652"/>
      <c r="P72" s="101"/>
      <c r="Q72" s="101"/>
    </row>
    <row r="73" spans="1:17" hidden="1" x14ac:dyDescent="0.2">
      <c r="A73" s="533"/>
      <c r="B73" s="533"/>
      <c r="C73" s="533"/>
      <c r="D73" s="533"/>
      <c r="E73" s="533"/>
      <c r="F73" s="533"/>
      <c r="G73" s="533"/>
      <c r="H73" s="533"/>
      <c r="I73" s="533"/>
      <c r="J73" s="533"/>
      <c r="K73" s="533"/>
      <c r="L73" s="533"/>
      <c r="M73" s="532" t="s">
        <v>356</v>
      </c>
      <c r="N73" s="532" t="s">
        <v>968</v>
      </c>
      <c r="O73" s="652"/>
      <c r="P73" s="101"/>
      <c r="Q73" s="101"/>
    </row>
    <row r="74" spans="1:17" hidden="1" x14ac:dyDescent="0.2">
      <c r="A74" s="532"/>
      <c r="B74" s="532"/>
      <c r="C74" s="532"/>
      <c r="D74" s="532"/>
      <c r="E74" s="532"/>
      <c r="F74" s="532"/>
      <c r="G74" s="532"/>
      <c r="H74" s="532"/>
      <c r="I74" s="532"/>
      <c r="J74" s="532"/>
      <c r="K74" s="532"/>
      <c r="L74" s="532"/>
      <c r="M74" s="532" t="s">
        <v>372</v>
      </c>
      <c r="N74" s="1175" t="str">
        <f>IF(O29="Select","",O29)</f>
        <v>Yes</v>
      </c>
      <c r="O74" s="652"/>
      <c r="P74" s="101"/>
      <c r="Q74" s="101"/>
    </row>
    <row r="75" spans="1:17" hidden="1" x14ac:dyDescent="0.2">
      <c r="A75" s="532"/>
      <c r="B75" s="532"/>
      <c r="C75" s="532"/>
      <c r="D75" s="532"/>
      <c r="E75" s="532"/>
      <c r="F75" s="532"/>
      <c r="G75" s="532"/>
      <c r="H75" s="532"/>
      <c r="I75" s="532"/>
      <c r="J75" s="532"/>
      <c r="K75" s="532"/>
      <c r="L75" s="532"/>
      <c r="M75" s="532" t="s">
        <v>373</v>
      </c>
      <c r="N75" s="1175" t="str">
        <f>IF(P29="Select","",P29)</f>
        <v/>
      </c>
      <c r="O75" s="652"/>
      <c r="P75" s="101"/>
      <c r="Q75" s="101"/>
    </row>
    <row r="76" spans="1:17" hidden="1" x14ac:dyDescent="0.2">
      <c r="A76" s="532"/>
      <c r="B76" s="532"/>
      <c r="C76" s="532"/>
      <c r="D76" s="532"/>
      <c r="E76" s="532"/>
      <c r="F76" s="532"/>
      <c r="G76" s="532"/>
      <c r="H76" s="532"/>
      <c r="I76" s="532"/>
      <c r="J76" s="532"/>
      <c r="K76" s="532"/>
      <c r="L76" s="532"/>
      <c r="M76" s="532" t="s">
        <v>404</v>
      </c>
      <c r="N76" s="1175" t="str">
        <f>IF(OR(O46="Yes",O47="Yes",O48="Yes",O49="Yes",O50="Yes",O51="Yes",O52="Yes",O53="Yes",), "Yes", "No")</f>
        <v>No</v>
      </c>
      <c r="O76" s="652"/>
      <c r="P76" s="101"/>
      <c r="Q76" s="101"/>
    </row>
    <row r="77" spans="1:17" hidden="1" x14ac:dyDescent="0.2">
      <c r="A77" s="532"/>
      <c r="B77" s="532"/>
      <c r="C77" s="532"/>
      <c r="D77" s="532"/>
      <c r="E77" s="532"/>
      <c r="F77" s="532"/>
      <c r="G77" s="532"/>
      <c r="H77" s="532"/>
      <c r="I77" s="532"/>
      <c r="J77" s="532"/>
      <c r="K77" s="532"/>
      <c r="L77" s="532"/>
      <c r="M77" s="532" t="s">
        <v>403</v>
      </c>
      <c r="N77" s="1175" t="str">
        <f>IF(OR(P46="Yes",P47="Yes",P48="Yes",P49="Yes",P50="Yes",P51="Yes",P52="Yes",P53="Yes",), "Yes", "No")</f>
        <v>No</v>
      </c>
      <c r="O77" s="652"/>
      <c r="P77" s="101"/>
      <c r="Q77" s="101"/>
    </row>
    <row r="78" spans="1:17" x14ac:dyDescent="0.2">
      <c r="A78" s="533"/>
      <c r="B78" s="533"/>
      <c r="C78" s="533"/>
      <c r="D78" s="533"/>
      <c r="E78" s="533"/>
      <c r="F78" s="533"/>
      <c r="G78" s="533"/>
      <c r="H78" s="533"/>
      <c r="I78" s="533"/>
      <c r="J78" s="533"/>
      <c r="K78" s="533"/>
      <c r="L78" s="533"/>
      <c r="M78" s="533"/>
      <c r="N78" s="533"/>
      <c r="O78" s="652"/>
      <c r="P78" s="101"/>
      <c r="Q78" s="101"/>
    </row>
    <row r="79" spans="1:17" x14ac:dyDescent="0.2">
      <c r="A79" s="533"/>
      <c r="B79" s="533"/>
      <c r="C79" s="533"/>
      <c r="D79" s="533"/>
      <c r="E79" s="533"/>
      <c r="F79" s="533"/>
      <c r="G79" s="533"/>
      <c r="H79" s="533"/>
      <c r="I79" s="533"/>
      <c r="J79" s="533"/>
      <c r="K79" s="533"/>
      <c r="L79" s="533"/>
      <c r="M79" s="533"/>
      <c r="N79" s="533"/>
      <c r="O79" s="652"/>
      <c r="P79" s="101"/>
      <c r="Q79" s="101"/>
    </row>
    <row r="80" spans="1:17" x14ac:dyDescent="0.2">
      <c r="A80" s="652"/>
      <c r="B80" s="652"/>
      <c r="C80" s="652"/>
      <c r="D80" s="652"/>
      <c r="E80" s="652"/>
      <c r="F80" s="652"/>
      <c r="G80" s="652"/>
      <c r="H80" s="652"/>
      <c r="I80" s="652"/>
      <c r="J80" s="652"/>
      <c r="K80" s="652"/>
      <c r="L80" s="652"/>
      <c r="M80" s="652"/>
      <c r="N80" s="652"/>
      <c r="O80" s="652"/>
      <c r="P80" s="101"/>
      <c r="Q80" s="101"/>
    </row>
    <row r="81" spans="1:17" x14ac:dyDescent="0.2">
      <c r="A81" s="652"/>
      <c r="B81" s="652"/>
      <c r="C81" s="652"/>
      <c r="D81" s="652"/>
      <c r="E81" s="652"/>
      <c r="F81" s="652"/>
      <c r="G81" s="652"/>
      <c r="H81" s="652"/>
      <c r="I81" s="652"/>
      <c r="J81" s="652"/>
      <c r="K81" s="652"/>
      <c r="L81" s="652"/>
      <c r="M81" s="652"/>
      <c r="N81" s="652"/>
      <c r="O81" s="652"/>
      <c r="P81" s="101"/>
      <c r="Q81" s="101"/>
    </row>
    <row r="82" spans="1:17" x14ac:dyDescent="0.2">
      <c r="A82" s="652"/>
      <c r="B82" s="652"/>
      <c r="C82" s="652"/>
      <c r="D82" s="652"/>
      <c r="E82" s="652"/>
      <c r="F82" s="652"/>
      <c r="G82" s="652"/>
      <c r="H82" s="652"/>
      <c r="I82" s="652"/>
      <c r="J82" s="652"/>
      <c r="K82" s="652"/>
      <c r="L82" s="652"/>
      <c r="M82" s="652"/>
      <c r="N82" s="652"/>
      <c r="O82" s="652"/>
      <c r="P82" s="101"/>
      <c r="Q82" s="101"/>
    </row>
    <row r="83" spans="1:17" x14ac:dyDescent="0.2">
      <c r="A83" s="652"/>
      <c r="B83" s="652"/>
      <c r="C83" s="652"/>
      <c r="D83" s="652"/>
      <c r="E83" s="652"/>
      <c r="F83" s="652"/>
      <c r="G83" s="652"/>
      <c r="H83" s="652"/>
      <c r="I83" s="652"/>
      <c r="J83" s="652"/>
      <c r="K83" s="652"/>
      <c r="L83" s="652"/>
      <c r="M83" s="652"/>
      <c r="N83" s="652"/>
      <c r="O83" s="652"/>
      <c r="P83" s="101"/>
      <c r="Q83" s="101"/>
    </row>
    <row r="84" spans="1:17" x14ac:dyDescent="0.2">
      <c r="A84" s="652"/>
      <c r="B84" s="652"/>
      <c r="C84" s="652"/>
      <c r="D84" s="652"/>
      <c r="E84" s="652"/>
      <c r="F84" s="652"/>
      <c r="G84" s="652"/>
      <c r="H84" s="652"/>
      <c r="I84" s="652"/>
      <c r="J84" s="652"/>
      <c r="K84" s="652"/>
      <c r="L84" s="652"/>
      <c r="M84" s="652"/>
      <c r="N84" s="652"/>
      <c r="O84" s="652"/>
      <c r="P84" s="101"/>
      <c r="Q84" s="101"/>
    </row>
    <row r="85" spans="1:17" x14ac:dyDescent="0.2">
      <c r="A85" s="652"/>
      <c r="B85" s="652"/>
      <c r="C85" s="652"/>
      <c r="D85" s="652"/>
      <c r="E85" s="652"/>
      <c r="F85" s="652"/>
      <c r="G85" s="652"/>
      <c r="H85" s="652"/>
      <c r="I85" s="652"/>
      <c r="J85" s="652"/>
      <c r="K85" s="652"/>
      <c r="L85" s="652"/>
      <c r="M85" s="652"/>
      <c r="N85" s="652"/>
      <c r="O85" s="652"/>
      <c r="P85" s="101"/>
      <c r="Q85" s="101"/>
    </row>
    <row r="86" spans="1:17" x14ac:dyDescent="0.2">
      <c r="M86" s="101"/>
      <c r="N86" s="101"/>
      <c r="O86" s="101"/>
      <c r="P86" s="101"/>
      <c r="Q86" s="101"/>
    </row>
    <row r="87" spans="1:17" x14ac:dyDescent="0.2">
      <c r="M87" s="101"/>
      <c r="N87" s="101"/>
      <c r="O87" s="101"/>
      <c r="P87" s="101"/>
      <c r="Q87" s="101"/>
    </row>
    <row r="88" spans="1:17" x14ac:dyDescent="0.2">
      <c r="M88" s="101"/>
      <c r="N88" s="101"/>
      <c r="O88" s="101"/>
      <c r="P88" s="101"/>
      <c r="Q88" s="101"/>
    </row>
    <row r="89" spans="1:17" x14ac:dyDescent="0.2">
      <c r="M89" s="101"/>
      <c r="N89" s="101"/>
      <c r="O89" s="101"/>
      <c r="P89" s="101"/>
      <c r="Q89" s="101"/>
    </row>
    <row r="90" spans="1:17" x14ac:dyDescent="0.2">
      <c r="M90" s="101"/>
      <c r="N90" s="101"/>
      <c r="O90" s="101"/>
      <c r="P90" s="101"/>
      <c r="Q90" s="101"/>
    </row>
    <row r="91" spans="1:17" x14ac:dyDescent="0.2">
      <c r="M91" s="101"/>
      <c r="N91" s="101"/>
      <c r="O91" s="101"/>
      <c r="P91" s="101"/>
      <c r="Q91" s="101"/>
    </row>
  </sheetData>
  <sheetProtection algorithmName="SHA-512" hashValue="s+4AlhwP3J/PHAPKBlYq4sTSOLcPrYRhRurhoXB3IwvplF9lWNXPk3qr8X1F2+RcNjrTFYC2+Qik27W4pjFGJA==" saltValue="94kuBfrNYobzMJGo9BBRjA==" spinCount="100000" sheet="1" objects="1" scenarios="1" formatColumns="0" formatRows="0" sort="0" autoFilter="0"/>
  <mergeCells count="73">
    <mergeCell ref="M56:W56"/>
    <mergeCell ref="M57:W57"/>
    <mergeCell ref="M50:N50"/>
    <mergeCell ref="Q50:W50"/>
    <mergeCell ref="M51:N51"/>
    <mergeCell ref="M52:N52"/>
    <mergeCell ref="M53:N53"/>
    <mergeCell ref="Q53:W53"/>
    <mergeCell ref="Q51:W51"/>
    <mergeCell ref="Q52:W52"/>
    <mergeCell ref="M47:N47"/>
    <mergeCell ref="Q47:W47"/>
    <mergeCell ref="M48:N48"/>
    <mergeCell ref="Q48:W48"/>
    <mergeCell ref="M49:N49"/>
    <mergeCell ref="Q49:W49"/>
    <mergeCell ref="M44:W44"/>
    <mergeCell ref="M45:N45"/>
    <mergeCell ref="Q45:W45"/>
    <mergeCell ref="M46:N46"/>
    <mergeCell ref="Q46:W46"/>
    <mergeCell ref="M39:N39"/>
    <mergeCell ref="R39:S39"/>
    <mergeCell ref="M41:N41"/>
    <mergeCell ref="R41:S41"/>
    <mergeCell ref="M42:N42"/>
    <mergeCell ref="R42:S42"/>
    <mergeCell ref="M40:N40"/>
    <mergeCell ref="R40:S40"/>
    <mergeCell ref="M36:N36"/>
    <mergeCell ref="R36:S36"/>
    <mergeCell ref="M37:N37"/>
    <mergeCell ref="R37:S37"/>
    <mergeCell ref="M38:N38"/>
    <mergeCell ref="R38:S38"/>
    <mergeCell ref="M32:W32"/>
    <mergeCell ref="M33:N33"/>
    <mergeCell ref="M34:N34"/>
    <mergeCell ref="R34:S34"/>
    <mergeCell ref="M35:N35"/>
    <mergeCell ref="R35:S35"/>
    <mergeCell ref="M19:W19"/>
    <mergeCell ref="M20:W20"/>
    <mergeCell ref="M25:W25"/>
    <mergeCell ref="Q28:W28"/>
    <mergeCell ref="Q29:W29"/>
    <mergeCell ref="M29:N29"/>
    <mergeCell ref="M17:N17"/>
    <mergeCell ref="Q17:W17"/>
    <mergeCell ref="M18:N18"/>
    <mergeCell ref="Q18:R18"/>
    <mergeCell ref="Q16:W16"/>
    <mergeCell ref="M14:N14"/>
    <mergeCell ref="Q14:W14"/>
    <mergeCell ref="M15:N15"/>
    <mergeCell ref="Q15:W15"/>
    <mergeCell ref="M16:N16"/>
    <mergeCell ref="M11:N11"/>
    <mergeCell ref="Q11:W11"/>
    <mergeCell ref="M12:N12"/>
    <mergeCell ref="Q12:W12"/>
    <mergeCell ref="M13:N13"/>
    <mergeCell ref="Q13:W13"/>
    <mergeCell ref="M9:N9"/>
    <mergeCell ref="Q9:W9"/>
    <mergeCell ref="M6:Q6"/>
    <mergeCell ref="M10:N10"/>
    <mergeCell ref="Q10:W10"/>
    <mergeCell ref="M1:W1"/>
    <mergeCell ref="M3:V3"/>
    <mergeCell ref="S5:W5"/>
    <mergeCell ref="S6:W6"/>
    <mergeCell ref="M8:W8"/>
  </mergeCells>
  <phoneticPr fontId="19" type="noConversion"/>
  <conditionalFormatting sqref="R37:S39 Q34:R34 R35:R36 W35:W41 O35:P41 O27:W27 T35:U41 R54 O54:P54 T54:U54 R40:R41">
    <cfRule type="cellIs" dxfId="124" priority="8" stopIfTrue="1" operator="lessThan">
      <formula>0</formula>
    </cfRule>
  </conditionalFormatting>
  <conditionalFormatting sqref="R37:S39 V34 Q34:R34 W35:W41 R35:R36 O27:Q27 T27:W27 T35:U41 R54 T54:U54 R40:R41">
    <cfRule type="cellIs" dxfId="123" priority="9" stopIfTrue="1" operator="lessThan">
      <formula>0</formula>
    </cfRule>
  </conditionalFormatting>
  <conditionalFormatting sqref="R42:R43 W42:W43 O42:P43 T42:U43">
    <cfRule type="cellIs" dxfId="122" priority="6" stopIfTrue="1" operator="lessThan">
      <formula>0</formula>
    </cfRule>
  </conditionalFormatting>
  <conditionalFormatting sqref="R42:R43 W42:W43 T42:U43">
    <cfRule type="cellIs" dxfId="121" priority="7" stopIfTrue="1" operator="lessThan">
      <formula>0</formula>
    </cfRule>
  </conditionalFormatting>
  <conditionalFormatting sqref="Q5">
    <cfRule type="cellIs" dxfId="120" priority="5" stopIfTrue="1" operator="lessThan">
      <formula>0</formula>
    </cfRule>
  </conditionalFormatting>
  <conditionalFormatting sqref="O18:P18">
    <cfRule type="cellIs" dxfId="119" priority="4" stopIfTrue="1" operator="lessThan">
      <formula>0</formula>
    </cfRule>
  </conditionalFormatting>
  <conditionalFormatting sqref="Q35:Q42">
    <cfRule type="cellIs" dxfId="118" priority="3" operator="greaterThan">
      <formula>0</formula>
    </cfRule>
  </conditionalFormatting>
  <conditionalFormatting sqref="V35">
    <cfRule type="cellIs" dxfId="117" priority="2" operator="greaterThan">
      <formula>0</formula>
    </cfRule>
  </conditionalFormatting>
  <conditionalFormatting sqref="V36:V42">
    <cfRule type="cellIs" dxfId="116" priority="1" operator="greaterThan">
      <formula>0</formula>
    </cfRule>
  </conditionalFormatting>
  <dataValidations count="8">
    <dataValidation type="list" allowBlank="1" showInputMessage="1" showErrorMessage="1" sqref="R55 R30:S30 O30 P29 R6 O46:P53 O10:P17">
      <formula1>"Select,Yes,No,N/A"</formula1>
    </dataValidation>
    <dataValidation type="list" allowBlank="1" showInputMessage="1" showErrorMessage="1" sqref="U33">
      <formula1>"Select,Yes,No,Partially,N/A"</formula1>
    </dataValidation>
    <dataValidation allowBlank="1" showInputMessage="1" sqref="R5"/>
    <dataValidation type="custom" allowBlank="1" showInputMessage="1" showErrorMessage="1" errorTitle="X-Author for Excel" error="Id and Lookup fields are not editable." promptTitle="X-Author for Excel" sqref="N73">
      <formula1>""</formula1>
    </dataValidation>
    <dataValidation type="list" allowBlank="1" showInputMessage="1" showErrorMessage="1" errorTitle="X-Author for Excel" error="Please select a value from the drop-down." promptTitle="X-Author for Excel" sqref="N77">
      <formula1>IF(IFERROR(ROWS(INDIRECT(SUBSTITUTE("AIM_Procurement__c.AIM_Expiry_Response_LFA__c"," ","_"))),-1) &lt; 0, XAuthorInvalidPicklistData,INDIRECT(SUBSTITUTE("AIM_Procurement__c.AIM_Expiry_Response_LFA__c"," ","_")))</formula1>
    </dataValidation>
    <dataValidation type="list" allowBlank="1" showInputMessage="1" showErrorMessage="1" errorTitle="X-Author for Excel" error="Please select a value from the drop-down." promptTitle="X-Author for Excel" sqref="N75">
      <formula1>IF(IFERROR(ROWS(INDIRECT(SUBSTITUTE("AIM_Procurement__c.AIM_PQR_Response_LFA__c"," ","_"))),-1) &lt; 0, XAuthorInvalidPicklistData,INDIRECT(SUBSTITUTE("AIM_Procurement__c.AIM_PQR_Response_LFA__c"," ","_")))</formula1>
    </dataValidation>
    <dataValidation type="list" allowBlank="1" showInputMessage="1" showErrorMessage="1" errorTitle="X-Author for Excel" error="Please select a value from the drop-down." promptTitle="X-Author for Excel" sqref="N74">
      <formula1>IF(IFERROR(ROWS(INDIRECT(SUBSTITUTE("AIM_Procurement__c.AIM_PQR_Response_PR__c"," ","_"))),-1) &lt; 0, XAuthorInvalidPicklistData,INDIRECT(SUBSTITUTE("AIM_Procurement__c.AIM_PQR_Response_PR__c"," ","_")))</formula1>
    </dataValidation>
    <dataValidation type="list" allowBlank="1" showInputMessage="1" showErrorMessage="1" errorTitle="X-Author for Excel" error="Please select a value from the drop-down." promptTitle="X-Author for Excel" sqref="N76">
      <formula1>IF(IFERROR(ROWS(INDIRECT(SUBSTITUTE("AIM_Procurement__c.AIM_Stock_Out_Response_LFA__c"," ","_"))),-1) &lt; 0, XAuthorInvalidPicklistData,INDIRECT(SUBSTITUTE("AIM_Procurement__c.AIM_Stock_Out_Response_LFA__c"," ","_")))</formula1>
    </dataValidation>
  </dataValidations>
  <printOptions horizontalCentered="1" verticalCentered="1"/>
  <pageMargins left="0.23622047244094491" right="0.23622047244094491" top="0.74803149606299213" bottom="0.74803149606299213" header="0.31496062992125984" footer="0.31496062992125984"/>
  <pageSetup paperSize="9" scale="50" orientation="landscape" cellComments="asDisplayed" r:id="rId1"/>
  <headerFooter alignWithMargins="0">
    <oddFooter>&amp;L&amp;9&amp;A&amp;R&amp;9&amp;P</oddFooter>
  </headerFooter>
  <rowBreaks count="1" manualBreakCount="1">
    <brk id="21" min="8" max="2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theme="9" tint="-0.249977111117893"/>
  </sheetPr>
  <dimension ref="A1:AI80"/>
  <sheetViews>
    <sheetView showGridLines="0" view="pageBreakPreview" topLeftCell="B13" zoomScale="70" zoomScaleNormal="50" zoomScaleSheetLayoutView="70" workbookViewId="0">
      <selection activeCell="E13" sqref="E13"/>
    </sheetView>
  </sheetViews>
  <sheetFormatPr defaultColWidth="9.140625" defaultRowHeight="12.75" outlineLevelRow="1" x14ac:dyDescent="0.2"/>
  <cols>
    <col min="1" max="1" width="0.42578125" style="101" customWidth="1"/>
    <col min="2" max="2" width="100.85546875" style="2" customWidth="1"/>
    <col min="3" max="3" width="23.140625" style="101" customWidth="1"/>
    <col min="4" max="4" width="28.5703125" style="2" customWidth="1"/>
    <col min="5" max="5" width="75.140625" style="2" customWidth="1"/>
    <col min="6" max="6" width="23.140625" style="101" customWidth="1"/>
    <col min="7" max="7" width="20.5703125" style="2" customWidth="1"/>
    <col min="8" max="8" width="92.85546875" style="2" customWidth="1"/>
    <col min="9" max="9" width="23.140625" style="101" hidden="1" customWidth="1"/>
    <col min="10" max="10" width="21.5703125" style="2" hidden="1" customWidth="1"/>
    <col min="11" max="11" width="92.140625" style="2" hidden="1" customWidth="1"/>
    <col min="12" max="12" width="9.140625" style="2" hidden="1" customWidth="1"/>
    <col min="13" max="13" width="0.140625" style="2" hidden="1" customWidth="1"/>
    <col min="14" max="14" width="5.85546875" style="512" hidden="1" customWidth="1"/>
    <col min="15" max="15" width="8.42578125" style="20" hidden="1" customWidth="1"/>
    <col min="16" max="16" width="0.42578125" style="20" customWidth="1"/>
    <col min="17" max="29" width="9.140625" style="20"/>
    <col min="30" max="30" width="0" style="20" hidden="1" customWidth="1"/>
    <col min="31" max="35" width="9.140625" style="20"/>
    <col min="36" max="16384" width="9.140625" style="2"/>
  </cols>
  <sheetData>
    <row r="1" spans="1:35" s="8" customFormat="1" ht="49.5" customHeight="1" x14ac:dyDescent="0.2">
      <c r="B1" s="1446" t="str">
        <f>IF(CoverSheet!J12="N/A","Progress Report","Progress Report with Disbursement Request")</f>
        <v>Progress Report with Disbursement Request</v>
      </c>
      <c r="C1" s="1446"/>
      <c r="D1" s="1446"/>
      <c r="E1" s="1446"/>
      <c r="F1" s="1446"/>
      <c r="G1" s="1446"/>
      <c r="H1" s="1446"/>
      <c r="I1" s="467"/>
      <c r="N1" s="387"/>
      <c r="O1" s="14"/>
      <c r="P1" s="14"/>
      <c r="Q1" s="14"/>
      <c r="R1" s="14"/>
      <c r="S1" s="14"/>
      <c r="T1" s="14"/>
      <c r="U1" s="14"/>
      <c r="V1" s="14"/>
      <c r="W1" s="14"/>
      <c r="X1" s="14"/>
      <c r="Y1" s="14"/>
      <c r="Z1" s="14"/>
      <c r="AA1" s="14"/>
      <c r="AB1" s="14"/>
      <c r="AC1" s="14"/>
      <c r="AD1" s="14"/>
      <c r="AE1" s="14"/>
      <c r="AF1" s="14"/>
      <c r="AG1" s="14"/>
      <c r="AH1" s="14"/>
      <c r="AI1" s="14"/>
    </row>
    <row r="2" spans="1:35" x14ac:dyDescent="0.2">
      <c r="B2" s="46"/>
      <c r="C2" s="46"/>
      <c r="D2" s="19"/>
      <c r="E2" s="19"/>
      <c r="F2" s="19"/>
      <c r="G2" s="19"/>
      <c r="H2" s="101"/>
      <c r="J2" s="101"/>
      <c r="K2" s="101"/>
    </row>
    <row r="3" spans="1:35" s="8" customFormat="1" ht="27" customHeight="1" x14ac:dyDescent="0.2">
      <c r="B3" s="468" t="s">
        <v>100</v>
      </c>
      <c r="C3" s="468"/>
      <c r="D3" s="468"/>
      <c r="E3" s="468"/>
      <c r="F3" s="468"/>
      <c r="G3" s="468"/>
      <c r="H3" s="468"/>
      <c r="I3" s="468"/>
      <c r="J3" s="139"/>
      <c r="K3" s="139"/>
      <c r="N3" s="387"/>
      <c r="O3" s="14"/>
      <c r="P3" s="14"/>
      <c r="Q3" s="14"/>
      <c r="R3" s="14"/>
      <c r="S3" s="14"/>
      <c r="T3" s="14"/>
      <c r="U3" s="14"/>
      <c r="V3" s="14"/>
      <c r="W3" s="14"/>
      <c r="X3" s="14"/>
      <c r="Y3" s="14"/>
      <c r="Z3" s="14"/>
      <c r="AA3" s="14"/>
      <c r="AB3" s="14"/>
      <c r="AC3" s="14"/>
      <c r="AD3" s="14"/>
      <c r="AE3" s="14"/>
      <c r="AF3" s="14"/>
      <c r="AG3" s="14"/>
      <c r="AH3" s="14"/>
      <c r="AI3" s="14"/>
    </row>
    <row r="4" spans="1:35" s="8" customFormat="1" ht="15.75" customHeight="1" x14ac:dyDescent="0.2">
      <c r="B4" s="47"/>
      <c r="C4" s="47"/>
      <c r="D4" s="47"/>
      <c r="E4" s="47"/>
      <c r="F4" s="47"/>
      <c r="G4" s="47"/>
      <c r="H4" s="48"/>
      <c r="I4" s="48"/>
      <c r="N4" s="387"/>
      <c r="O4" s="14"/>
      <c r="P4" s="14"/>
      <c r="Q4" s="14"/>
      <c r="R4" s="14"/>
      <c r="S4" s="14"/>
      <c r="T4" s="14"/>
      <c r="U4" s="14"/>
      <c r="V4" s="14"/>
      <c r="W4" s="14"/>
      <c r="X4" s="14"/>
      <c r="Y4" s="14"/>
      <c r="Z4" s="14"/>
      <c r="AA4" s="14"/>
      <c r="AB4" s="14"/>
      <c r="AC4" s="14"/>
      <c r="AD4" s="14"/>
      <c r="AE4" s="14"/>
      <c r="AF4" s="14"/>
      <c r="AG4" s="14"/>
      <c r="AH4" s="14"/>
      <c r="AI4" s="14"/>
    </row>
    <row r="5" spans="1:35" s="101" customFormat="1" ht="34.5" customHeight="1" x14ac:dyDescent="0.3">
      <c r="B5" s="333" t="s">
        <v>237</v>
      </c>
      <c r="C5" s="333"/>
      <c r="D5" s="140"/>
      <c r="E5" s="140"/>
      <c r="F5" s="140"/>
      <c r="G5" s="140"/>
      <c r="H5" s="140"/>
      <c r="I5" s="140"/>
      <c r="J5" s="140"/>
      <c r="K5" s="140"/>
      <c r="N5" s="512"/>
      <c r="O5" s="20"/>
      <c r="P5" s="20"/>
      <c r="Q5" s="20"/>
      <c r="R5" s="20"/>
      <c r="S5" s="20"/>
      <c r="T5" s="20"/>
      <c r="U5" s="20"/>
      <c r="V5" s="20"/>
      <c r="W5" s="20"/>
      <c r="X5" s="20"/>
      <c r="Y5" s="20"/>
      <c r="Z5" s="20"/>
      <c r="AA5" s="20"/>
      <c r="AB5" s="20"/>
      <c r="AC5" s="20"/>
      <c r="AD5" s="20"/>
      <c r="AE5" s="20"/>
      <c r="AF5" s="20"/>
      <c r="AG5" s="20"/>
      <c r="AH5" s="20"/>
      <c r="AI5" s="20"/>
    </row>
    <row r="6" spans="1:35" ht="15.75" thickBot="1" x14ac:dyDescent="0.25">
      <c r="B6" s="1672"/>
      <c r="C6" s="1672"/>
      <c r="D6" s="1672"/>
      <c r="E6" s="1672"/>
      <c r="F6" s="1672"/>
      <c r="G6" s="1672"/>
      <c r="H6" s="20"/>
      <c r="J6" s="101"/>
      <c r="K6" s="101"/>
    </row>
    <row r="7" spans="1:35" ht="66" customHeight="1" thickBot="1" x14ac:dyDescent="0.25">
      <c r="B7" s="1673" t="s">
        <v>245</v>
      </c>
      <c r="C7" s="1673"/>
      <c r="D7" s="1673"/>
      <c r="E7" s="1673"/>
      <c r="F7" s="474"/>
      <c r="G7" s="1661" t="s">
        <v>102</v>
      </c>
      <c r="H7" s="1662"/>
      <c r="I7" s="501"/>
      <c r="J7" s="1657" t="s">
        <v>101</v>
      </c>
      <c r="K7" s="1658"/>
      <c r="P7" s="388"/>
    </row>
    <row r="8" spans="1:35" s="101" customFormat="1" ht="2.4500000000000002" customHeight="1" thickBot="1" x14ac:dyDescent="0.25">
      <c r="B8" s="630"/>
      <c r="C8" s="630"/>
      <c r="D8" s="630"/>
      <c r="E8" s="630"/>
      <c r="F8" s="630"/>
      <c r="G8" s="622"/>
      <c r="H8" s="622"/>
      <c r="I8" s="629"/>
      <c r="J8" s="625"/>
      <c r="K8" s="625"/>
      <c r="N8" s="512"/>
      <c r="O8" s="20"/>
      <c r="P8" s="389"/>
      <c r="Q8" s="20"/>
      <c r="R8" s="20"/>
      <c r="S8" s="20"/>
      <c r="T8" s="20"/>
      <c r="U8" s="20"/>
      <c r="V8" s="20"/>
      <c r="W8" s="20"/>
      <c r="X8" s="20"/>
      <c r="Y8" s="20"/>
      <c r="Z8" s="20"/>
      <c r="AA8" s="20"/>
      <c r="AB8" s="20"/>
      <c r="AC8" s="20"/>
      <c r="AD8" s="20"/>
      <c r="AE8" s="20"/>
      <c r="AF8" s="20"/>
      <c r="AG8" s="20"/>
      <c r="AH8" s="20"/>
      <c r="AI8" s="20"/>
    </row>
    <row r="9" spans="1:35" s="8" customFormat="1" ht="40.5" customHeight="1" x14ac:dyDescent="0.2">
      <c r="A9" s="421"/>
      <c r="B9" s="535" t="s">
        <v>350</v>
      </c>
      <c r="C9" s="536"/>
      <c r="D9" s="535" t="s">
        <v>0</v>
      </c>
      <c r="E9" s="537" t="s">
        <v>57</v>
      </c>
      <c r="F9" s="538"/>
      <c r="G9" s="825" t="s">
        <v>0</v>
      </c>
      <c r="H9" s="825" t="s">
        <v>366</v>
      </c>
      <c r="I9" s="538"/>
      <c r="J9" s="539" t="s">
        <v>213</v>
      </c>
      <c r="K9" s="539" t="s">
        <v>211</v>
      </c>
      <c r="L9" s="540"/>
      <c r="M9" s="540"/>
      <c r="N9" s="541" t="s">
        <v>356</v>
      </c>
      <c r="O9" s="412"/>
      <c r="P9" s="534"/>
      <c r="Q9" s="14"/>
      <c r="R9" s="14"/>
      <c r="S9" s="564"/>
      <c r="T9" s="564"/>
      <c r="U9" s="14"/>
      <c r="V9" s="14"/>
      <c r="W9" s="14"/>
      <c r="X9" s="14"/>
      <c r="Y9" s="14"/>
      <c r="Z9" s="14"/>
      <c r="AA9" s="14"/>
      <c r="AB9" s="14"/>
      <c r="AC9" s="14"/>
      <c r="AD9" s="14"/>
      <c r="AE9" s="14"/>
      <c r="AF9" s="14"/>
      <c r="AG9" s="14"/>
      <c r="AH9" s="14"/>
      <c r="AI9" s="14"/>
    </row>
    <row r="10" spans="1:35" s="177" customFormat="1" ht="15.75" hidden="1" thickBot="1" x14ac:dyDescent="0.25">
      <c r="A10" s="464"/>
      <c r="B10" s="1203" t="s">
        <v>349</v>
      </c>
      <c r="C10" s="536"/>
      <c r="D10" s="1185" t="s">
        <v>351</v>
      </c>
      <c r="E10" s="1197" t="s">
        <v>352</v>
      </c>
      <c r="F10" s="538"/>
      <c r="G10" s="1185" t="s">
        <v>353</v>
      </c>
      <c r="H10" s="1251" t="s">
        <v>354</v>
      </c>
      <c r="I10" s="538"/>
      <c r="J10" s="542" t="str">
        <f>G10</f>
        <v>[Status (LFA)]</v>
      </c>
      <c r="K10" s="543"/>
      <c r="L10" s="544"/>
      <c r="M10" s="544"/>
      <c r="N10" s="545" t="s">
        <v>355</v>
      </c>
      <c r="O10" s="25"/>
      <c r="P10" s="534"/>
      <c r="Q10" s="22"/>
      <c r="R10" s="22"/>
      <c r="S10" s="22"/>
      <c r="T10" s="22"/>
      <c r="U10" s="22"/>
      <c r="V10" s="22"/>
      <c r="W10" s="22"/>
      <c r="X10" s="22"/>
      <c r="Y10" s="22"/>
      <c r="Z10" s="22"/>
      <c r="AA10" s="22"/>
      <c r="AB10" s="22"/>
      <c r="AC10" s="22"/>
      <c r="AD10" s="22"/>
      <c r="AE10" s="22"/>
      <c r="AF10" s="22"/>
      <c r="AG10" s="22"/>
      <c r="AH10" s="22"/>
      <c r="AI10" s="22"/>
    </row>
    <row r="11" spans="1:35" s="177" customFormat="1" ht="75" x14ac:dyDescent="0.2">
      <c r="A11" s="464"/>
      <c r="B11" s="1203" t="s">
        <v>1056</v>
      </c>
      <c r="C11" s="536"/>
      <c r="D11" s="1185" t="s">
        <v>409</v>
      </c>
      <c r="E11" s="1197"/>
      <c r="F11" s="538"/>
      <c r="G11" s="1185"/>
      <c r="H11" s="1251"/>
      <c r="I11" s="538"/>
      <c r="J11" s="542">
        <f t="shared" ref="J11:J14" si="0">G11</f>
        <v>0</v>
      </c>
      <c r="K11" s="543"/>
      <c r="L11" s="544"/>
      <c r="M11" s="544"/>
      <c r="N11" s="545" t="s">
        <v>1057</v>
      </c>
      <c r="O11" s="22"/>
      <c r="P11" s="534"/>
      <c r="Q11" s="22"/>
      <c r="R11" s="22"/>
      <c r="S11" s="22"/>
      <c r="T11" s="22"/>
      <c r="U11" s="22"/>
      <c r="V11" s="22"/>
      <c r="W11" s="22"/>
      <c r="X11" s="22"/>
      <c r="Y11" s="22"/>
      <c r="Z11" s="22"/>
      <c r="AA11" s="22"/>
      <c r="AB11" s="22"/>
      <c r="AC11" s="22"/>
      <c r="AD11" s="22"/>
      <c r="AE11" s="22"/>
      <c r="AF11" s="22"/>
      <c r="AG11" s="22"/>
      <c r="AH11" s="22"/>
      <c r="AI11" s="22"/>
    </row>
    <row r="12" spans="1:35" s="177" customFormat="1" ht="75" x14ac:dyDescent="0.2">
      <c r="A12" s="464"/>
      <c r="B12" s="1203" t="s">
        <v>1058</v>
      </c>
      <c r="C12" s="536"/>
      <c r="D12" s="1185" t="s">
        <v>409</v>
      </c>
      <c r="E12" s="1197"/>
      <c r="F12" s="538"/>
      <c r="G12" s="1185"/>
      <c r="H12" s="1251"/>
      <c r="I12" s="538"/>
      <c r="J12" s="542">
        <f t="shared" si="0"/>
        <v>0</v>
      </c>
      <c r="K12" s="543"/>
      <c r="L12" s="544"/>
      <c r="M12" s="544"/>
      <c r="N12" s="545" t="s">
        <v>1059</v>
      </c>
      <c r="O12" s="22"/>
      <c r="P12" s="534"/>
      <c r="Q12" s="22"/>
      <c r="R12" s="22"/>
      <c r="S12" s="22"/>
      <c r="T12" s="22"/>
      <c r="U12" s="22"/>
      <c r="V12" s="22"/>
      <c r="W12" s="22"/>
      <c r="X12" s="22"/>
      <c r="Y12" s="22"/>
      <c r="Z12" s="22"/>
      <c r="AA12" s="22"/>
      <c r="AB12" s="22"/>
      <c r="AC12" s="22"/>
      <c r="AD12" s="22"/>
      <c r="AE12" s="22"/>
      <c r="AF12" s="22"/>
      <c r="AG12" s="22"/>
      <c r="AH12" s="22"/>
      <c r="AI12" s="22"/>
    </row>
    <row r="13" spans="1:35" s="177" customFormat="1" ht="409.5" x14ac:dyDescent="0.2">
      <c r="A13" s="464"/>
      <c r="B13" s="1203" t="s">
        <v>1060</v>
      </c>
      <c r="C13" s="536"/>
      <c r="D13" s="1185" t="s">
        <v>413</v>
      </c>
      <c r="E13" s="1197" t="s">
        <v>1686</v>
      </c>
      <c r="F13" s="538"/>
      <c r="G13" s="1185"/>
      <c r="H13" s="1251"/>
      <c r="I13" s="538"/>
      <c r="J13" s="542">
        <f t="shared" si="0"/>
        <v>0</v>
      </c>
      <c r="K13" s="543"/>
      <c r="L13" s="544"/>
      <c r="M13" s="544"/>
      <c r="N13" s="545" t="s">
        <v>1061</v>
      </c>
      <c r="O13" s="22"/>
      <c r="P13" s="534"/>
      <c r="Q13" s="22"/>
      <c r="R13" s="22"/>
      <c r="S13" s="22"/>
      <c r="T13" s="22"/>
      <c r="U13" s="22"/>
      <c r="V13" s="22"/>
      <c r="W13" s="22"/>
      <c r="X13" s="22"/>
      <c r="Y13" s="22"/>
      <c r="Z13" s="22"/>
      <c r="AA13" s="22"/>
      <c r="AB13" s="22"/>
      <c r="AC13" s="22"/>
      <c r="AD13" s="22"/>
      <c r="AE13" s="22"/>
      <c r="AF13" s="22"/>
      <c r="AG13" s="22"/>
      <c r="AH13" s="22"/>
      <c r="AI13" s="22"/>
    </row>
    <row r="14" spans="1:35" s="177" customFormat="1" ht="75" customHeight="1" x14ac:dyDescent="0.2">
      <c r="A14" s="464"/>
      <c r="B14" s="1203" t="s">
        <v>1062</v>
      </c>
      <c r="C14" s="536"/>
      <c r="D14" s="1185" t="s">
        <v>413</v>
      </c>
      <c r="E14" s="1197" t="s">
        <v>1685</v>
      </c>
      <c r="F14" s="538"/>
      <c r="G14" s="1185"/>
      <c r="H14" s="1251"/>
      <c r="I14" s="538"/>
      <c r="J14" s="542">
        <f t="shared" si="0"/>
        <v>0</v>
      </c>
      <c r="K14" s="543"/>
      <c r="L14" s="544"/>
      <c r="M14" s="544"/>
      <c r="N14" s="545" t="s">
        <v>1063</v>
      </c>
      <c r="O14" s="22"/>
      <c r="P14" s="534"/>
      <c r="Q14" s="22"/>
      <c r="R14" s="22"/>
      <c r="S14" s="22"/>
      <c r="T14" s="22"/>
      <c r="U14" s="22"/>
      <c r="V14" s="22"/>
      <c r="W14" s="22"/>
      <c r="X14" s="22"/>
      <c r="Y14" s="22"/>
      <c r="Z14" s="22"/>
      <c r="AA14" s="22"/>
      <c r="AB14" s="22"/>
      <c r="AC14" s="22"/>
      <c r="AD14" s="22"/>
      <c r="AE14" s="22"/>
      <c r="AF14" s="22"/>
      <c r="AG14" s="22"/>
      <c r="AH14" s="22"/>
      <c r="AI14" s="22"/>
    </row>
    <row r="15" spans="1:35" ht="15.75" hidden="1" outlineLevel="1" thickBot="1" x14ac:dyDescent="0.25">
      <c r="B15" s="909"/>
      <c r="C15" s="507"/>
      <c r="D15" s="1190" t="s">
        <v>351</v>
      </c>
      <c r="E15" s="1677"/>
      <c r="F15" s="1678"/>
      <c r="G15" s="1679"/>
      <c r="H15" s="471"/>
      <c r="I15" s="483"/>
      <c r="J15" s="20"/>
      <c r="K15" s="20"/>
      <c r="L15" s="459"/>
      <c r="M15" s="20"/>
      <c r="P15" s="459"/>
    </row>
    <row r="16" spans="1:35" ht="15.75" hidden="1" outlineLevel="1" thickBot="1" x14ac:dyDescent="0.25">
      <c r="B16" s="469"/>
      <c r="C16" s="506"/>
      <c r="D16" s="1190" t="s">
        <v>351</v>
      </c>
      <c r="E16" s="1674"/>
      <c r="F16" s="1675"/>
      <c r="G16" s="1676"/>
      <c r="H16" s="471"/>
      <c r="I16" s="483"/>
      <c r="J16" s="20"/>
      <c r="K16" s="20"/>
      <c r="L16" s="459"/>
      <c r="M16" s="20"/>
      <c r="P16" s="459"/>
    </row>
    <row r="17" spans="1:35" ht="15.75" hidden="1" outlineLevel="1" thickBot="1" x14ac:dyDescent="0.25">
      <c r="B17" s="469"/>
      <c r="C17" s="506"/>
      <c r="D17" s="1190" t="s">
        <v>351</v>
      </c>
      <c r="E17" s="1674"/>
      <c r="F17" s="1675"/>
      <c r="G17" s="1676"/>
      <c r="H17" s="469"/>
      <c r="I17" s="484"/>
      <c r="J17" s="20"/>
      <c r="K17" s="20"/>
      <c r="L17" s="459"/>
      <c r="M17" s="20"/>
      <c r="P17" s="459"/>
    </row>
    <row r="18" spans="1:35" ht="15.75" hidden="1" outlineLevel="1" thickBot="1" x14ac:dyDescent="0.25">
      <c r="B18" s="469"/>
      <c r="C18" s="506"/>
      <c r="D18" s="1190" t="s">
        <v>351</v>
      </c>
      <c r="E18" s="1674"/>
      <c r="F18" s="1675"/>
      <c r="G18" s="1676"/>
      <c r="H18" s="469"/>
      <c r="I18" s="484"/>
      <c r="J18" s="20"/>
      <c r="K18" s="20"/>
      <c r="L18" s="459"/>
      <c r="M18" s="20"/>
      <c r="P18" s="459"/>
    </row>
    <row r="19" spans="1:35" ht="15.75" hidden="1" outlineLevel="1" thickBot="1" x14ac:dyDescent="0.25">
      <c r="B19" s="469"/>
      <c r="C19" s="506"/>
      <c r="D19" s="1190" t="s">
        <v>351</v>
      </c>
      <c r="E19" s="1674"/>
      <c r="F19" s="1675"/>
      <c r="G19" s="1676"/>
      <c r="H19" s="469"/>
      <c r="I19" s="484"/>
      <c r="J19" s="20"/>
      <c r="K19" s="20"/>
      <c r="L19" s="459"/>
      <c r="M19" s="20"/>
      <c r="P19" s="459"/>
    </row>
    <row r="20" spans="1:35" s="122" customFormat="1" ht="15" hidden="1" thickBot="1" x14ac:dyDescent="0.25">
      <c r="B20" s="1669"/>
      <c r="C20" s="1670"/>
      <c r="D20" s="1671"/>
      <c r="E20" s="1670"/>
      <c r="F20" s="1670"/>
      <c r="G20" s="1671"/>
      <c r="H20" s="1670"/>
      <c r="I20" s="505"/>
      <c r="J20" s="460"/>
      <c r="K20" s="460"/>
      <c r="L20" s="461"/>
      <c r="M20" s="3"/>
      <c r="N20" s="514"/>
      <c r="O20" s="3"/>
      <c r="P20" s="526"/>
      <c r="Q20" s="3"/>
      <c r="R20" s="3"/>
      <c r="S20" s="3"/>
      <c r="T20" s="3"/>
      <c r="U20" s="3"/>
      <c r="V20" s="3"/>
      <c r="W20" s="3"/>
      <c r="X20" s="3"/>
      <c r="Y20" s="3"/>
      <c r="Z20" s="3"/>
      <c r="AA20" s="3"/>
      <c r="AB20" s="3"/>
      <c r="AC20" s="3"/>
      <c r="AD20" s="3"/>
      <c r="AE20" s="3"/>
      <c r="AF20" s="3"/>
      <c r="AG20" s="3"/>
      <c r="AH20" s="3"/>
      <c r="AI20" s="3"/>
    </row>
    <row r="21" spans="1:35" ht="14.25" hidden="1" outlineLevel="1" x14ac:dyDescent="0.2">
      <c r="B21" s="909"/>
      <c r="C21" s="507"/>
      <c r="D21" s="1191" t="s">
        <v>46</v>
      </c>
      <c r="E21" s="1677"/>
      <c r="F21" s="1678"/>
      <c r="G21" s="1679"/>
      <c r="H21" s="470"/>
      <c r="I21" s="484"/>
      <c r="J21" s="20"/>
      <c r="K21" s="20"/>
      <c r="L21" s="459"/>
      <c r="M21" s="20"/>
      <c r="P21" s="459"/>
    </row>
    <row r="22" spans="1:35" ht="14.25" hidden="1" outlineLevel="1" x14ac:dyDescent="0.2">
      <c r="B22" s="469"/>
      <c r="C22" s="506"/>
      <c r="D22" s="1192" t="s">
        <v>46</v>
      </c>
      <c r="E22" s="1674"/>
      <c r="F22" s="1675"/>
      <c r="G22" s="1676"/>
      <c r="H22" s="469"/>
      <c r="I22" s="484"/>
      <c r="J22" s="20"/>
      <c r="K22" s="20"/>
      <c r="L22" s="459"/>
      <c r="M22" s="20"/>
      <c r="P22" s="459"/>
    </row>
    <row r="23" spans="1:35" ht="15" hidden="1" outlineLevel="1" thickBot="1" x14ac:dyDescent="0.25">
      <c r="B23" s="472"/>
      <c r="C23" s="504"/>
      <c r="D23" s="1193" t="s">
        <v>46</v>
      </c>
      <c r="E23" s="1666"/>
      <c r="F23" s="1667"/>
      <c r="G23" s="1668"/>
      <c r="H23" s="472"/>
      <c r="I23" s="485"/>
      <c r="J23" s="123"/>
      <c r="K23" s="123"/>
      <c r="L23" s="463"/>
      <c r="M23" s="123"/>
      <c r="N23" s="527"/>
      <c r="O23" s="123"/>
      <c r="P23" s="463"/>
    </row>
    <row r="24" spans="1:35" s="50" customFormat="1" ht="14.25" hidden="1" x14ac:dyDescent="0.2">
      <c r="B24" s="49"/>
      <c r="C24" s="49"/>
      <c r="D24" s="1186"/>
      <c r="E24" s="49"/>
      <c r="F24" s="49"/>
      <c r="G24" s="1186"/>
      <c r="N24" s="466"/>
    </row>
    <row r="25" spans="1:35" s="101" customFormat="1" ht="34.5" customHeight="1" x14ac:dyDescent="0.2">
      <c r="A25" s="20"/>
      <c r="B25" s="1651" t="s">
        <v>182</v>
      </c>
      <c r="C25" s="1651"/>
      <c r="D25" s="1652"/>
      <c r="E25" s="1651"/>
      <c r="F25" s="1651"/>
      <c r="G25" s="1652"/>
      <c r="H25" s="140"/>
      <c r="I25" s="140"/>
      <c r="J25" s="140"/>
      <c r="K25" s="140"/>
      <c r="N25" s="512"/>
      <c r="O25" s="20"/>
      <c r="P25" s="20"/>
      <c r="Q25" s="20"/>
      <c r="R25" s="20"/>
      <c r="S25" s="20"/>
      <c r="T25" s="20"/>
      <c r="U25" s="20"/>
      <c r="V25" s="20"/>
      <c r="W25" s="20"/>
      <c r="X25" s="20"/>
      <c r="Y25" s="20"/>
      <c r="Z25" s="20"/>
      <c r="AA25" s="20"/>
      <c r="AB25" s="20"/>
      <c r="AC25" s="20"/>
      <c r="AD25" s="20"/>
      <c r="AE25" s="20"/>
      <c r="AF25" s="20"/>
      <c r="AG25" s="20"/>
      <c r="AH25" s="20"/>
      <c r="AI25" s="20"/>
    </row>
    <row r="26" spans="1:35" s="101" customFormat="1" ht="37.5" customHeight="1" thickBot="1" x14ac:dyDescent="0.25">
      <c r="A26" s="20"/>
      <c r="B26" s="1653" t="s">
        <v>184</v>
      </c>
      <c r="C26" s="1653"/>
      <c r="D26" s="1654"/>
      <c r="E26" s="1653"/>
      <c r="F26" s="1653"/>
      <c r="G26" s="1654"/>
      <c r="H26" s="1653"/>
      <c r="I26" s="473"/>
      <c r="N26" s="512"/>
      <c r="O26" s="20"/>
      <c r="P26" s="123"/>
      <c r="Q26" s="20"/>
      <c r="R26" s="20"/>
      <c r="S26" s="20"/>
      <c r="T26" s="20"/>
      <c r="U26" s="20"/>
      <c r="V26" s="20"/>
      <c r="W26" s="20"/>
      <c r="X26" s="20"/>
      <c r="Y26" s="20"/>
      <c r="Z26" s="20"/>
      <c r="AA26" s="20"/>
      <c r="AB26" s="20"/>
      <c r="AC26" s="20"/>
      <c r="AD26" s="20"/>
      <c r="AE26" s="20"/>
      <c r="AF26" s="20"/>
      <c r="AG26" s="20"/>
      <c r="AH26" s="20"/>
      <c r="AI26" s="20"/>
    </row>
    <row r="27" spans="1:35" s="101" customFormat="1" ht="43.35" customHeight="1" thickBot="1" x14ac:dyDescent="0.3">
      <c r="A27" s="20"/>
      <c r="B27" s="26"/>
      <c r="C27" s="26"/>
      <c r="D27" s="1194"/>
      <c r="E27" s="26"/>
      <c r="F27" s="26"/>
      <c r="G27" s="1655" t="s">
        <v>102</v>
      </c>
      <c r="H27" s="1656"/>
      <c r="I27" s="493"/>
      <c r="J27" s="1657" t="s">
        <v>101</v>
      </c>
      <c r="K27" s="1658"/>
      <c r="N27" s="512"/>
      <c r="O27" s="20"/>
      <c r="P27" s="534"/>
      <c r="Q27" s="20"/>
      <c r="R27" s="20"/>
      <c r="S27" s="20"/>
      <c r="T27" s="20"/>
      <c r="U27" s="20"/>
      <c r="V27" s="20"/>
      <c r="W27" s="20"/>
      <c r="X27" s="20"/>
      <c r="Y27" s="20"/>
      <c r="Z27" s="20"/>
      <c r="AA27" s="20"/>
      <c r="AB27" s="20"/>
      <c r="AC27" s="20"/>
      <c r="AD27" s="20"/>
      <c r="AE27" s="20"/>
      <c r="AF27" s="20"/>
      <c r="AG27" s="20"/>
      <c r="AH27" s="20"/>
      <c r="AI27" s="20"/>
    </row>
    <row r="28" spans="1:35" s="101" customFormat="1" ht="1.35" customHeight="1" thickBot="1" x14ac:dyDescent="0.3">
      <c r="A28" s="20"/>
      <c r="B28" s="631"/>
      <c r="C28" s="631"/>
      <c r="D28" s="1195"/>
      <c r="E28" s="631"/>
      <c r="F28" s="631"/>
      <c r="G28" s="1187"/>
      <c r="H28" s="970"/>
      <c r="I28" s="493"/>
      <c r="J28" s="623"/>
      <c r="K28" s="624"/>
      <c r="N28" s="512"/>
      <c r="O28" s="20"/>
      <c r="P28" s="534"/>
      <c r="Q28" s="20"/>
      <c r="R28" s="20"/>
      <c r="S28" s="20"/>
      <c r="T28" s="20"/>
      <c r="U28" s="20"/>
      <c r="V28" s="20"/>
      <c r="W28" s="20"/>
      <c r="X28" s="20"/>
      <c r="Y28" s="20"/>
      <c r="Z28" s="20"/>
      <c r="AA28" s="20"/>
      <c r="AB28" s="20"/>
      <c r="AC28" s="20"/>
      <c r="AD28" s="20"/>
      <c r="AE28" s="20"/>
      <c r="AF28" s="20"/>
      <c r="AG28" s="20"/>
      <c r="AH28" s="20"/>
      <c r="AI28" s="20"/>
    </row>
    <row r="29" spans="1:35" s="101" customFormat="1" ht="40.5" customHeight="1" thickBot="1" x14ac:dyDescent="0.25">
      <c r="A29" s="464"/>
      <c r="B29" s="566" t="s">
        <v>396</v>
      </c>
      <c r="C29" s="536"/>
      <c r="D29" s="1196" t="s">
        <v>0</v>
      </c>
      <c r="E29" s="566" t="s">
        <v>57</v>
      </c>
      <c r="F29" s="538"/>
      <c r="G29" s="1188" t="s">
        <v>0</v>
      </c>
      <c r="H29" s="568" t="s">
        <v>397</v>
      </c>
      <c r="I29" s="493"/>
      <c r="J29" s="486" t="s">
        <v>213</v>
      </c>
      <c r="K29" s="487" t="s">
        <v>212</v>
      </c>
      <c r="L29" s="546"/>
      <c r="M29" s="546"/>
      <c r="N29" s="547" t="s">
        <v>356</v>
      </c>
      <c r="O29" s="546"/>
      <c r="P29" s="534"/>
      <c r="Q29" s="20"/>
      <c r="R29" s="20"/>
      <c r="S29" s="20"/>
      <c r="T29" s="564"/>
      <c r="U29" s="564"/>
      <c r="V29" s="676"/>
      <c r="W29" s="676"/>
      <c r="X29" s="676"/>
      <c r="Y29" s="676"/>
      <c r="Z29" s="676"/>
      <c r="AA29" s="676"/>
      <c r="AB29" s="676"/>
      <c r="AC29" s="676"/>
      <c r="AD29" s="676"/>
      <c r="AE29" s="676"/>
      <c r="AF29" s="676"/>
      <c r="AG29" s="676"/>
      <c r="AH29" s="676"/>
      <c r="AI29" s="676"/>
    </row>
    <row r="30" spans="1:35" s="177" customFormat="1" ht="19.350000000000001" hidden="1" customHeight="1" x14ac:dyDescent="0.2">
      <c r="A30" s="464"/>
      <c r="B30" s="937" t="s">
        <v>374</v>
      </c>
      <c r="C30" s="536"/>
      <c r="D30" s="1185" t="s">
        <v>351</v>
      </c>
      <c r="E30" s="542" t="s">
        <v>352</v>
      </c>
      <c r="F30" s="538"/>
      <c r="G30" s="1185" t="s">
        <v>353</v>
      </c>
      <c r="H30" s="542" t="s">
        <v>375</v>
      </c>
      <c r="I30" s="494"/>
      <c r="J30" s="488" t="str">
        <f>G30</f>
        <v>[Status (LFA)]</v>
      </c>
      <c r="K30" s="489"/>
      <c r="L30" s="22"/>
      <c r="M30" s="22"/>
      <c r="N30" s="513" t="s">
        <v>355</v>
      </c>
      <c r="O30" s="22"/>
      <c r="P30" s="534"/>
      <c r="Q30" s="22"/>
      <c r="R30" s="22"/>
      <c r="S30" s="22"/>
      <c r="T30" s="661"/>
      <c r="U30" s="661"/>
      <c r="V30" s="677"/>
      <c r="W30" s="677"/>
      <c r="X30" s="677"/>
      <c r="Y30" s="677"/>
      <c r="Z30" s="677"/>
      <c r="AA30" s="677"/>
      <c r="AB30" s="677"/>
      <c r="AC30" s="677"/>
      <c r="AD30" s="677"/>
      <c r="AE30" s="677"/>
      <c r="AF30" s="677"/>
      <c r="AG30" s="677"/>
      <c r="AH30" s="677"/>
      <c r="AI30" s="677"/>
    </row>
    <row r="31" spans="1:35" s="177" customFormat="1" ht="129.6" customHeight="1" x14ac:dyDescent="0.2">
      <c r="A31" s="464"/>
      <c r="B31" s="1372" t="s">
        <v>1669</v>
      </c>
      <c r="C31" s="536"/>
      <c r="D31" s="1373" t="s">
        <v>412</v>
      </c>
      <c r="E31" s="936" t="s">
        <v>1671</v>
      </c>
      <c r="F31" s="538"/>
      <c r="G31" s="1189"/>
      <c r="H31" s="936"/>
      <c r="I31" s="494"/>
      <c r="J31" s="661"/>
      <c r="K31" s="662"/>
      <c r="L31" s="22"/>
      <c r="M31" s="22"/>
      <c r="N31" s="513"/>
      <c r="O31" s="22"/>
      <c r="P31" s="534"/>
      <c r="Q31" s="22"/>
      <c r="R31" s="22"/>
      <c r="S31" s="22"/>
      <c r="T31" s="677"/>
      <c r="U31" s="677"/>
      <c r="V31" s="677"/>
      <c r="W31" s="677"/>
      <c r="X31" s="677"/>
      <c r="Y31" s="677"/>
      <c r="Z31" s="677"/>
      <c r="AA31" s="677"/>
      <c r="AB31" s="677"/>
      <c r="AC31" s="677"/>
      <c r="AD31" s="677"/>
      <c r="AE31" s="677"/>
      <c r="AF31" s="677"/>
      <c r="AG31" s="677"/>
      <c r="AH31" s="677"/>
      <c r="AI31" s="677"/>
    </row>
    <row r="32" spans="1:35" s="177" customFormat="1" ht="75.599999999999994" customHeight="1" x14ac:dyDescent="0.2">
      <c r="A32" s="464"/>
      <c r="B32" s="938" t="s">
        <v>1670</v>
      </c>
      <c r="C32" s="536"/>
      <c r="D32" s="1189" t="s">
        <v>412</v>
      </c>
      <c r="E32" s="936" t="s">
        <v>1684</v>
      </c>
      <c r="F32" s="538"/>
      <c r="G32" s="1189"/>
      <c r="H32" s="936"/>
      <c r="I32" s="494"/>
      <c r="J32" s="661"/>
      <c r="K32" s="662"/>
      <c r="L32" s="22"/>
      <c r="M32" s="22"/>
      <c r="N32" s="513"/>
      <c r="O32" s="22"/>
      <c r="P32" s="534"/>
      <c r="Q32" s="22"/>
      <c r="R32" s="22"/>
      <c r="S32" s="22"/>
      <c r="T32" s="677"/>
      <c r="U32" s="677"/>
      <c r="V32" s="677"/>
      <c r="W32" s="677"/>
      <c r="X32" s="677"/>
      <c r="Y32" s="677"/>
      <c r="Z32" s="677"/>
      <c r="AA32" s="677"/>
      <c r="AB32" s="677"/>
      <c r="AC32" s="677"/>
      <c r="AD32" s="677"/>
      <c r="AE32" s="677"/>
      <c r="AF32" s="677"/>
      <c r="AG32" s="677"/>
      <c r="AH32" s="677"/>
      <c r="AI32" s="677"/>
    </row>
    <row r="33" spans="1:35" s="177" customFormat="1" ht="73.5" customHeight="1" x14ac:dyDescent="0.2">
      <c r="A33" s="464"/>
      <c r="B33" s="938" t="s">
        <v>1672</v>
      </c>
      <c r="C33" s="536"/>
      <c r="D33" s="1189" t="s">
        <v>413</v>
      </c>
      <c r="E33" s="936" t="s">
        <v>1683</v>
      </c>
      <c r="F33" s="538"/>
      <c r="G33" s="1189"/>
      <c r="H33" s="936"/>
      <c r="I33" s="494"/>
      <c r="J33" s="661"/>
      <c r="K33" s="662"/>
      <c r="L33" s="22"/>
      <c r="M33" s="22"/>
      <c r="N33" s="513"/>
      <c r="O33" s="22"/>
      <c r="P33" s="534"/>
      <c r="Q33" s="22"/>
      <c r="R33" s="22"/>
      <c r="S33" s="22"/>
      <c r="T33" s="677"/>
      <c r="U33" s="677"/>
      <c r="V33" s="677"/>
      <c r="W33" s="677"/>
      <c r="X33" s="677"/>
      <c r="Y33" s="677"/>
      <c r="Z33" s="677"/>
      <c r="AA33" s="677"/>
      <c r="AB33" s="677"/>
      <c r="AC33" s="677"/>
      <c r="AD33" s="677"/>
      <c r="AE33" s="677"/>
      <c r="AF33" s="677"/>
      <c r="AG33" s="677"/>
      <c r="AH33" s="677"/>
      <c r="AI33" s="677"/>
    </row>
    <row r="34" spans="1:35" s="177" customFormat="1" ht="19.350000000000001" customHeight="1" x14ac:dyDescent="0.2">
      <c r="A34" s="464"/>
      <c r="B34" s="938"/>
      <c r="C34" s="536"/>
      <c r="D34" s="1189"/>
      <c r="E34" s="936"/>
      <c r="F34" s="538"/>
      <c r="G34" s="1189"/>
      <c r="H34" s="936"/>
      <c r="I34" s="494"/>
      <c r="J34" s="661"/>
      <c r="K34" s="662"/>
      <c r="L34" s="22"/>
      <c r="M34" s="22"/>
      <c r="N34" s="513"/>
      <c r="O34" s="22"/>
      <c r="P34" s="534"/>
      <c r="Q34" s="22"/>
      <c r="R34" s="22"/>
      <c r="S34" s="22"/>
      <c r="T34" s="677"/>
      <c r="U34" s="677"/>
      <c r="V34" s="677"/>
      <c r="W34" s="677"/>
      <c r="X34" s="677"/>
      <c r="Y34" s="677"/>
      <c r="Z34" s="677"/>
      <c r="AA34" s="677"/>
      <c r="AB34" s="677"/>
      <c r="AC34" s="677"/>
      <c r="AD34" s="677"/>
      <c r="AE34" s="677"/>
      <c r="AF34" s="677"/>
      <c r="AG34" s="677"/>
      <c r="AH34" s="677"/>
      <c r="AI34" s="677"/>
    </row>
    <row r="35" spans="1:35" s="177" customFormat="1" ht="19.350000000000001" customHeight="1" x14ac:dyDescent="0.2">
      <c r="A35" s="464"/>
      <c r="B35" s="938"/>
      <c r="C35" s="536"/>
      <c r="D35" s="1189"/>
      <c r="E35" s="936"/>
      <c r="F35" s="538"/>
      <c r="G35" s="1189"/>
      <c r="H35" s="936"/>
      <c r="I35" s="494"/>
      <c r="J35" s="661"/>
      <c r="K35" s="662"/>
      <c r="L35" s="22"/>
      <c r="M35" s="22"/>
      <c r="N35" s="513"/>
      <c r="O35" s="22"/>
      <c r="P35" s="534"/>
      <c r="Q35" s="22"/>
      <c r="R35" s="22"/>
      <c r="S35" s="22"/>
      <c r="T35" s="677"/>
      <c r="U35" s="677"/>
      <c r="V35" s="677"/>
      <c r="W35" s="677"/>
      <c r="X35" s="677"/>
      <c r="Y35" s="677"/>
      <c r="Z35" s="677"/>
      <c r="AA35" s="677"/>
      <c r="AB35" s="677"/>
      <c r="AC35" s="677"/>
      <c r="AD35" s="677"/>
      <c r="AE35" s="677"/>
      <c r="AF35" s="677"/>
      <c r="AG35" s="677"/>
      <c r="AH35" s="677"/>
      <c r="AI35" s="677"/>
    </row>
    <row r="36" spans="1:35" s="177" customFormat="1" ht="19.350000000000001" customHeight="1" x14ac:dyDescent="0.2">
      <c r="A36" s="464"/>
      <c r="B36" s="938"/>
      <c r="C36" s="536"/>
      <c r="D36" s="1189"/>
      <c r="E36" s="936"/>
      <c r="F36" s="538"/>
      <c r="G36" s="1189"/>
      <c r="H36" s="936"/>
      <c r="I36" s="494"/>
      <c r="J36" s="661"/>
      <c r="K36" s="662"/>
      <c r="L36" s="22"/>
      <c r="M36" s="22"/>
      <c r="N36" s="513"/>
      <c r="O36" s="22"/>
      <c r="P36" s="534"/>
      <c r="Q36" s="22"/>
      <c r="R36" s="22"/>
      <c r="S36" s="22"/>
      <c r="T36" s="677"/>
      <c r="U36" s="677"/>
      <c r="V36" s="677"/>
      <c r="W36" s="677"/>
      <c r="X36" s="677"/>
      <c r="Y36" s="677"/>
      <c r="Z36" s="677"/>
      <c r="AA36" s="677"/>
      <c r="AB36" s="677"/>
      <c r="AC36" s="677"/>
      <c r="AD36" s="677"/>
      <c r="AE36" s="677"/>
      <c r="AF36" s="677"/>
      <c r="AG36" s="677"/>
      <c r="AH36" s="677"/>
      <c r="AI36" s="677"/>
    </row>
    <row r="37" spans="1:35" s="177" customFormat="1" ht="19.350000000000001" customHeight="1" x14ac:dyDescent="0.2">
      <c r="A37" s="464"/>
      <c r="B37" s="938"/>
      <c r="C37" s="536"/>
      <c r="D37" s="1189"/>
      <c r="E37" s="936"/>
      <c r="F37" s="538"/>
      <c r="G37" s="1189"/>
      <c r="H37" s="936"/>
      <c r="I37" s="494"/>
      <c r="J37" s="661"/>
      <c r="K37" s="662"/>
      <c r="L37" s="22"/>
      <c r="M37" s="22"/>
      <c r="N37" s="513"/>
      <c r="O37" s="22"/>
      <c r="P37" s="534"/>
      <c r="Q37" s="22"/>
      <c r="R37" s="22"/>
      <c r="S37" s="22"/>
      <c r="T37" s="677"/>
      <c r="U37" s="677"/>
      <c r="V37" s="677"/>
      <c r="W37" s="677"/>
      <c r="X37" s="677"/>
      <c r="Y37" s="677"/>
      <c r="Z37" s="677"/>
      <c r="AA37" s="677"/>
      <c r="AB37" s="677"/>
      <c r="AC37" s="677"/>
      <c r="AD37" s="677"/>
      <c r="AE37" s="677"/>
      <c r="AF37" s="677"/>
      <c r="AG37" s="677"/>
      <c r="AH37" s="677"/>
      <c r="AI37" s="677"/>
    </row>
    <row r="38" spans="1:35" s="177" customFormat="1" ht="19.350000000000001" customHeight="1" x14ac:dyDescent="0.2">
      <c r="A38" s="464"/>
      <c r="B38" s="938"/>
      <c r="C38" s="536"/>
      <c r="D38" s="1189"/>
      <c r="E38" s="936"/>
      <c r="F38" s="538"/>
      <c r="G38" s="1189"/>
      <c r="H38" s="936"/>
      <c r="I38" s="494"/>
      <c r="J38" s="661"/>
      <c r="K38" s="662"/>
      <c r="L38" s="22"/>
      <c r="M38" s="22"/>
      <c r="N38" s="513"/>
      <c r="O38" s="22"/>
      <c r="P38" s="534"/>
      <c r="Q38" s="22"/>
      <c r="R38" s="22"/>
      <c r="S38" s="22"/>
      <c r="T38" s="677"/>
      <c r="U38" s="677"/>
      <c r="V38" s="677"/>
      <c r="W38" s="677"/>
      <c r="X38" s="677"/>
      <c r="Y38" s="677"/>
      <c r="Z38" s="677"/>
      <c r="AA38" s="677"/>
      <c r="AB38" s="677"/>
      <c r="AC38" s="677"/>
      <c r="AD38" s="677"/>
      <c r="AE38" s="677"/>
      <c r="AF38" s="677"/>
      <c r="AG38" s="677"/>
      <c r="AH38" s="677"/>
      <c r="AI38" s="677"/>
    </row>
    <row r="39" spans="1:35" s="177" customFormat="1" ht="19.350000000000001" customHeight="1" x14ac:dyDescent="0.2">
      <c r="A39" s="464"/>
      <c r="B39" s="938"/>
      <c r="C39" s="536"/>
      <c r="D39" s="1189"/>
      <c r="E39" s="936"/>
      <c r="F39" s="538"/>
      <c r="G39" s="1189"/>
      <c r="H39" s="936"/>
      <c r="I39" s="494"/>
      <c r="J39" s="661"/>
      <c r="K39" s="662"/>
      <c r="L39" s="22"/>
      <c r="M39" s="22"/>
      <c r="N39" s="513"/>
      <c r="O39" s="22"/>
      <c r="P39" s="534"/>
      <c r="Q39" s="22"/>
      <c r="R39" s="22"/>
      <c r="S39" s="22"/>
      <c r="T39" s="677"/>
      <c r="U39" s="677"/>
      <c r="V39" s="677"/>
      <c r="W39" s="677"/>
      <c r="X39" s="677"/>
      <c r="Y39" s="677"/>
      <c r="Z39" s="677"/>
      <c r="AA39" s="677"/>
      <c r="AB39" s="677"/>
      <c r="AC39" s="677"/>
      <c r="AD39" s="677"/>
      <c r="AE39" s="677"/>
      <c r="AF39" s="677"/>
      <c r="AG39" s="677"/>
      <c r="AH39" s="677"/>
      <c r="AI39" s="677"/>
    </row>
    <row r="40" spans="1:35" s="177" customFormat="1" ht="19.350000000000001" customHeight="1" x14ac:dyDescent="0.2">
      <c r="A40" s="464"/>
      <c r="B40" s="938"/>
      <c r="C40" s="536"/>
      <c r="D40" s="1189"/>
      <c r="E40" s="936"/>
      <c r="F40" s="538"/>
      <c r="G40" s="1189"/>
      <c r="H40" s="936"/>
      <c r="I40" s="494"/>
      <c r="J40" s="661"/>
      <c r="K40" s="662"/>
      <c r="L40" s="22"/>
      <c r="M40" s="22"/>
      <c r="N40" s="513"/>
      <c r="O40" s="22"/>
      <c r="P40" s="534"/>
      <c r="Q40" s="22"/>
      <c r="R40" s="22"/>
      <c r="S40" s="22"/>
      <c r="T40" s="677"/>
      <c r="U40" s="677"/>
      <c r="V40" s="677"/>
      <c r="W40" s="677"/>
      <c r="X40" s="677"/>
      <c r="Y40" s="677"/>
      <c r="Z40" s="677"/>
      <c r="AA40" s="677"/>
      <c r="AB40" s="677"/>
      <c r="AC40" s="677"/>
      <c r="AD40" s="677"/>
      <c r="AE40" s="677"/>
      <c r="AF40" s="677"/>
      <c r="AG40" s="677"/>
      <c r="AH40" s="677"/>
      <c r="AI40" s="677"/>
    </row>
    <row r="41" spans="1:35" s="177" customFormat="1" ht="19.350000000000001" customHeight="1" x14ac:dyDescent="0.2">
      <c r="A41" s="464"/>
      <c r="B41" s="938"/>
      <c r="C41" s="536"/>
      <c r="D41" s="1189"/>
      <c r="E41" s="936"/>
      <c r="F41" s="538"/>
      <c r="G41" s="1189"/>
      <c r="H41" s="936"/>
      <c r="I41" s="494"/>
      <c r="J41" s="661"/>
      <c r="K41" s="662"/>
      <c r="L41" s="22"/>
      <c r="M41" s="22"/>
      <c r="N41" s="513"/>
      <c r="O41" s="22"/>
      <c r="P41" s="534"/>
      <c r="Q41" s="22"/>
      <c r="R41" s="22"/>
      <c r="S41" s="22"/>
      <c r="T41" s="677"/>
      <c r="U41" s="677"/>
      <c r="V41" s="677"/>
      <c r="W41" s="677"/>
      <c r="X41" s="677"/>
      <c r="Y41" s="677"/>
      <c r="Z41" s="677"/>
      <c r="AA41" s="677"/>
      <c r="AB41" s="677"/>
      <c r="AC41" s="677"/>
      <c r="AD41" s="677"/>
      <c r="AE41" s="677"/>
      <c r="AF41" s="677"/>
      <c r="AG41" s="677"/>
      <c r="AH41" s="677"/>
      <c r="AI41" s="677"/>
    </row>
    <row r="42" spans="1:35" s="177" customFormat="1" ht="19.350000000000001" customHeight="1" x14ac:dyDescent="0.2">
      <c r="A42" s="464"/>
      <c r="B42" s="938"/>
      <c r="C42" s="536"/>
      <c r="D42" s="1189"/>
      <c r="E42" s="936"/>
      <c r="F42" s="538"/>
      <c r="G42" s="1189"/>
      <c r="H42" s="936"/>
      <c r="I42" s="494"/>
      <c r="J42" s="661"/>
      <c r="K42" s="662"/>
      <c r="L42" s="22"/>
      <c r="M42" s="22"/>
      <c r="N42" s="513"/>
      <c r="O42" s="22"/>
      <c r="P42" s="534"/>
      <c r="Q42" s="22"/>
      <c r="R42" s="22"/>
      <c r="S42" s="22"/>
      <c r="T42" s="677"/>
      <c r="U42" s="677"/>
      <c r="V42" s="677"/>
      <c r="W42" s="677"/>
      <c r="X42" s="677"/>
      <c r="Y42" s="677"/>
      <c r="Z42" s="677"/>
      <c r="AA42" s="677"/>
      <c r="AB42" s="677"/>
      <c r="AC42" s="677"/>
      <c r="AD42" s="677"/>
      <c r="AE42" s="677"/>
      <c r="AF42" s="677"/>
      <c r="AG42" s="677"/>
      <c r="AH42" s="677"/>
      <c r="AI42" s="677"/>
    </row>
    <row r="43" spans="1:35" s="177" customFormat="1" ht="19.350000000000001" customHeight="1" x14ac:dyDescent="0.2">
      <c r="A43" s="464"/>
      <c r="B43" s="938"/>
      <c r="C43" s="536"/>
      <c r="D43" s="1189"/>
      <c r="E43" s="936"/>
      <c r="F43" s="538"/>
      <c r="G43" s="1189"/>
      <c r="H43" s="936"/>
      <c r="I43" s="494"/>
      <c r="J43" s="661"/>
      <c r="K43" s="662"/>
      <c r="L43" s="22"/>
      <c r="M43" s="22"/>
      <c r="N43" s="513"/>
      <c r="O43" s="22"/>
      <c r="P43" s="534"/>
      <c r="Q43" s="22"/>
      <c r="R43" s="22"/>
      <c r="S43" s="22"/>
      <c r="T43" s="677"/>
      <c r="U43" s="677"/>
      <c r="V43" s="677"/>
      <c r="W43" s="677"/>
      <c r="X43" s="677"/>
      <c r="Y43" s="677"/>
      <c r="Z43" s="677"/>
      <c r="AA43" s="677"/>
      <c r="AB43" s="677"/>
      <c r="AC43" s="677"/>
      <c r="AD43" s="677"/>
      <c r="AE43" s="677"/>
      <c r="AF43" s="677"/>
      <c r="AG43" s="677"/>
      <c r="AH43" s="677"/>
      <c r="AI43" s="677"/>
    </row>
    <row r="44" spans="1:35" s="177" customFormat="1" ht="19.350000000000001" customHeight="1" x14ac:dyDescent="0.2">
      <c r="A44" s="464"/>
      <c r="B44" s="938"/>
      <c r="C44" s="536"/>
      <c r="D44" s="1189"/>
      <c r="E44" s="936"/>
      <c r="F44" s="538"/>
      <c r="G44" s="1189"/>
      <c r="H44" s="936"/>
      <c r="I44" s="494"/>
      <c r="J44" s="661"/>
      <c r="K44" s="662"/>
      <c r="L44" s="22"/>
      <c r="M44" s="22"/>
      <c r="N44" s="513"/>
      <c r="O44" s="22"/>
      <c r="P44" s="534"/>
      <c r="Q44" s="22"/>
      <c r="R44" s="22"/>
      <c r="S44" s="22"/>
      <c r="T44" s="677"/>
      <c r="U44" s="677"/>
      <c r="V44" s="677"/>
      <c r="W44" s="677"/>
      <c r="X44" s="677"/>
      <c r="Y44" s="677"/>
      <c r="Z44" s="677"/>
      <c r="AA44" s="677"/>
      <c r="AB44" s="677"/>
      <c r="AC44" s="677"/>
      <c r="AD44" s="677"/>
      <c r="AE44" s="677"/>
      <c r="AF44" s="677"/>
      <c r="AG44" s="677"/>
      <c r="AH44" s="677"/>
      <c r="AI44" s="677"/>
    </row>
    <row r="45" spans="1:35" s="177" customFormat="1" ht="19.350000000000001" customHeight="1" x14ac:dyDescent="0.2">
      <c r="A45" s="464"/>
      <c r="B45" s="938"/>
      <c r="C45" s="536"/>
      <c r="D45" s="902"/>
      <c r="E45" s="936"/>
      <c r="F45" s="538"/>
      <c r="G45" s="902"/>
      <c r="H45" s="936"/>
      <c r="I45" s="494"/>
      <c r="J45" s="661"/>
      <c r="K45" s="662"/>
      <c r="L45" s="22"/>
      <c r="M45" s="22"/>
      <c r="N45" s="513"/>
      <c r="O45" s="22"/>
      <c r="P45" s="534"/>
      <c r="Q45" s="22"/>
      <c r="R45" s="22"/>
      <c r="S45" s="22"/>
      <c r="T45" s="677"/>
      <c r="U45" s="677"/>
      <c r="V45" s="677"/>
      <c r="W45" s="677"/>
      <c r="X45" s="677"/>
      <c r="Y45" s="677"/>
      <c r="Z45" s="677"/>
      <c r="AA45" s="677"/>
      <c r="AB45" s="677"/>
      <c r="AC45" s="677"/>
      <c r="AD45" s="677"/>
      <c r="AE45" s="677"/>
      <c r="AF45" s="677"/>
      <c r="AG45" s="677"/>
      <c r="AH45" s="677"/>
      <c r="AI45" s="677"/>
    </row>
    <row r="46" spans="1:35" s="177" customFormat="1" ht="19.350000000000001" customHeight="1" x14ac:dyDescent="0.2">
      <c r="A46" s="464"/>
      <c r="B46" s="938"/>
      <c r="C46" s="536"/>
      <c r="D46" s="902"/>
      <c r="E46" s="936"/>
      <c r="F46" s="538"/>
      <c r="G46" s="902"/>
      <c r="H46" s="936"/>
      <c r="I46" s="494"/>
      <c r="J46" s="661"/>
      <c r="K46" s="662"/>
      <c r="L46" s="22"/>
      <c r="M46" s="22"/>
      <c r="N46" s="513"/>
      <c r="O46" s="22"/>
      <c r="P46" s="534"/>
      <c r="Q46" s="22"/>
      <c r="R46" s="22"/>
      <c r="S46" s="22"/>
      <c r="T46" s="677"/>
      <c r="U46" s="677"/>
      <c r="V46" s="677"/>
      <c r="W46" s="677"/>
      <c r="X46" s="677"/>
      <c r="Y46" s="677"/>
      <c r="Z46" s="677"/>
      <c r="AA46" s="677"/>
      <c r="AB46" s="677"/>
      <c r="AC46" s="677"/>
      <c r="AD46" s="677"/>
      <c r="AE46" s="677"/>
      <c r="AF46" s="677"/>
      <c r="AG46" s="677"/>
      <c r="AH46" s="677"/>
      <c r="AI46" s="677"/>
    </row>
    <row r="47" spans="1:35" s="177" customFormat="1" ht="19.350000000000001" customHeight="1" x14ac:dyDescent="0.2">
      <c r="A47" s="464"/>
      <c r="B47" s="938"/>
      <c r="C47" s="536"/>
      <c r="D47" s="902"/>
      <c r="E47" s="936"/>
      <c r="F47" s="538"/>
      <c r="G47" s="902"/>
      <c r="H47" s="936"/>
      <c r="I47" s="494"/>
      <c r="J47" s="661"/>
      <c r="K47" s="662"/>
      <c r="L47" s="22"/>
      <c r="M47" s="22"/>
      <c r="N47" s="513"/>
      <c r="O47" s="22"/>
      <c r="P47" s="534"/>
      <c r="Q47" s="22"/>
      <c r="R47" s="22"/>
      <c r="S47" s="22"/>
      <c r="T47" s="677"/>
      <c r="U47" s="677"/>
      <c r="V47" s="677"/>
      <c r="W47" s="677"/>
      <c r="X47" s="677"/>
      <c r="Y47" s="677"/>
      <c r="Z47" s="677"/>
      <c r="AA47" s="677"/>
      <c r="AB47" s="677"/>
      <c r="AC47" s="677"/>
      <c r="AD47" s="677"/>
      <c r="AE47" s="677"/>
      <c r="AF47" s="677"/>
      <c r="AG47" s="677"/>
      <c r="AH47" s="677"/>
      <c r="AI47" s="677"/>
    </row>
    <row r="48" spans="1:35" s="177" customFormat="1" ht="19.350000000000001" customHeight="1" x14ac:dyDescent="0.2">
      <c r="A48" s="464"/>
      <c r="B48" s="938"/>
      <c r="C48" s="536"/>
      <c r="D48" s="902"/>
      <c r="E48" s="936"/>
      <c r="F48" s="538"/>
      <c r="G48" s="902"/>
      <c r="H48" s="936"/>
      <c r="I48" s="494"/>
      <c r="J48" s="661"/>
      <c r="K48" s="662"/>
      <c r="L48" s="22"/>
      <c r="M48" s="22"/>
      <c r="N48" s="513"/>
      <c r="O48" s="22"/>
      <c r="P48" s="534"/>
      <c r="Q48" s="22"/>
      <c r="R48" s="22"/>
      <c r="S48" s="22"/>
      <c r="T48" s="677"/>
      <c r="U48" s="677"/>
      <c r="V48" s="677"/>
      <c r="W48" s="677"/>
      <c r="X48" s="677"/>
      <c r="Y48" s="677"/>
      <c r="Z48" s="677"/>
      <c r="AA48" s="677"/>
      <c r="AB48" s="677"/>
      <c r="AC48" s="677"/>
      <c r="AD48" s="677"/>
      <c r="AE48" s="677"/>
      <c r="AF48" s="677"/>
      <c r="AG48" s="677"/>
      <c r="AH48" s="677"/>
      <c r="AI48" s="677"/>
    </row>
    <row r="49" spans="1:35" s="177" customFormat="1" ht="19.350000000000001" customHeight="1" x14ac:dyDescent="0.2">
      <c r="A49" s="464"/>
      <c r="B49" s="938"/>
      <c r="C49" s="536"/>
      <c r="D49" s="902"/>
      <c r="E49" s="936"/>
      <c r="F49" s="538"/>
      <c r="G49" s="902"/>
      <c r="H49" s="936"/>
      <c r="I49" s="494"/>
      <c r="J49" s="661"/>
      <c r="K49" s="662"/>
      <c r="L49" s="22"/>
      <c r="M49" s="22"/>
      <c r="N49" s="513"/>
      <c r="O49" s="22"/>
      <c r="P49" s="534"/>
      <c r="Q49" s="22"/>
      <c r="R49" s="22"/>
      <c r="S49" s="22"/>
      <c r="T49" s="677"/>
      <c r="U49" s="677"/>
      <c r="V49" s="677"/>
      <c r="W49" s="677"/>
      <c r="X49" s="677"/>
      <c r="Y49" s="677"/>
      <c r="Z49" s="677"/>
      <c r="AA49" s="677"/>
      <c r="AB49" s="677"/>
      <c r="AC49" s="677"/>
      <c r="AD49" s="677"/>
      <c r="AE49" s="677"/>
      <c r="AF49" s="677"/>
      <c r="AG49" s="677"/>
      <c r="AH49" s="677"/>
      <c r="AI49" s="677"/>
    </row>
    <row r="50" spans="1:35" s="177" customFormat="1" ht="19.350000000000001" customHeight="1" x14ac:dyDescent="0.2">
      <c r="A50" s="464"/>
      <c r="B50" s="938"/>
      <c r="C50" s="536"/>
      <c r="D50" s="902"/>
      <c r="E50" s="936"/>
      <c r="F50" s="538"/>
      <c r="G50" s="902"/>
      <c r="H50" s="936"/>
      <c r="I50" s="494"/>
      <c r="J50" s="661"/>
      <c r="K50" s="662"/>
      <c r="L50" s="22"/>
      <c r="M50" s="22"/>
      <c r="N50" s="513"/>
      <c r="O50" s="22"/>
      <c r="P50" s="534"/>
      <c r="Q50" s="22"/>
      <c r="R50" s="22"/>
      <c r="S50" s="22"/>
      <c r="T50" s="677"/>
      <c r="U50" s="677"/>
      <c r="V50" s="677"/>
      <c r="W50" s="677"/>
      <c r="X50" s="677"/>
      <c r="Y50" s="677"/>
      <c r="Z50" s="677"/>
      <c r="AA50" s="677"/>
      <c r="AB50" s="677"/>
      <c r="AC50" s="677"/>
      <c r="AD50" s="677"/>
      <c r="AE50" s="677"/>
      <c r="AF50" s="677"/>
      <c r="AG50" s="677"/>
      <c r="AH50" s="677"/>
      <c r="AI50" s="677"/>
    </row>
    <row r="51" spans="1:35" s="177" customFormat="1" ht="19.350000000000001" customHeight="1" x14ac:dyDescent="0.2">
      <c r="A51" s="464"/>
      <c r="B51" s="938"/>
      <c r="C51" s="536"/>
      <c r="D51" s="902"/>
      <c r="E51" s="936"/>
      <c r="F51" s="538"/>
      <c r="G51" s="902"/>
      <c r="H51" s="936"/>
      <c r="I51" s="494"/>
      <c r="J51" s="661"/>
      <c r="K51" s="662"/>
      <c r="L51" s="22"/>
      <c r="M51" s="22"/>
      <c r="N51" s="513"/>
      <c r="O51" s="22"/>
      <c r="P51" s="534"/>
      <c r="Q51" s="22"/>
      <c r="R51" s="22"/>
      <c r="S51" s="22"/>
      <c r="T51" s="677"/>
      <c r="U51" s="677"/>
      <c r="V51" s="677"/>
      <c r="W51" s="677"/>
      <c r="X51" s="677"/>
      <c r="Y51" s="677"/>
      <c r="Z51" s="677"/>
      <c r="AA51" s="677"/>
      <c r="AB51" s="677"/>
      <c r="AC51" s="677"/>
      <c r="AD51" s="677"/>
      <c r="AE51" s="677"/>
      <c r="AF51" s="677"/>
      <c r="AG51" s="677"/>
      <c r="AH51" s="677"/>
      <c r="AI51" s="677"/>
    </row>
    <row r="52" spans="1:35" s="177" customFormat="1" ht="19.350000000000001" customHeight="1" x14ac:dyDescent="0.2">
      <c r="A52" s="464"/>
      <c r="B52" s="938"/>
      <c r="C52" s="536"/>
      <c r="D52" s="902"/>
      <c r="E52" s="936"/>
      <c r="F52" s="538"/>
      <c r="G52" s="902"/>
      <c r="H52" s="936"/>
      <c r="I52" s="494"/>
      <c r="J52" s="661"/>
      <c r="K52" s="662"/>
      <c r="L52" s="22"/>
      <c r="M52" s="22"/>
      <c r="N52" s="513"/>
      <c r="O52" s="22"/>
      <c r="P52" s="534"/>
      <c r="Q52" s="22"/>
      <c r="R52" s="22"/>
      <c r="S52" s="22"/>
      <c r="T52" s="677"/>
      <c r="U52" s="677"/>
      <c r="V52" s="677"/>
      <c r="W52" s="677"/>
      <c r="X52" s="677"/>
      <c r="Y52" s="677"/>
      <c r="Z52" s="677"/>
      <c r="AA52" s="677"/>
      <c r="AB52" s="677"/>
      <c r="AC52" s="677"/>
      <c r="AD52" s="677"/>
      <c r="AE52" s="677"/>
      <c r="AF52" s="677"/>
      <c r="AG52" s="677"/>
      <c r="AH52" s="677"/>
      <c r="AI52" s="677"/>
    </row>
    <row r="53" spans="1:35" s="177" customFormat="1" ht="19.350000000000001" customHeight="1" x14ac:dyDescent="0.2">
      <c r="A53" s="464"/>
      <c r="B53" s="938"/>
      <c r="C53" s="536"/>
      <c r="D53" s="902"/>
      <c r="E53" s="936"/>
      <c r="F53" s="538"/>
      <c r="G53" s="902"/>
      <c r="H53" s="936"/>
      <c r="I53" s="494"/>
      <c r="J53" s="661"/>
      <c r="K53" s="662"/>
      <c r="L53" s="22"/>
      <c r="M53" s="22"/>
      <c r="N53" s="513"/>
      <c r="O53" s="22"/>
      <c r="P53" s="534"/>
      <c r="Q53" s="22"/>
      <c r="R53" s="22"/>
      <c r="S53" s="22"/>
      <c r="T53" s="677"/>
      <c r="U53" s="677"/>
      <c r="V53" s="677"/>
      <c r="W53" s="677"/>
      <c r="X53" s="677"/>
      <c r="Y53" s="677"/>
      <c r="Z53" s="677"/>
      <c r="AA53" s="677"/>
      <c r="AB53" s="677"/>
      <c r="AC53" s="677"/>
      <c r="AD53" s="677"/>
      <c r="AE53" s="677"/>
      <c r="AF53" s="677"/>
      <c r="AG53" s="677"/>
      <c r="AH53" s="677"/>
      <c r="AI53" s="677"/>
    </row>
    <row r="54" spans="1:35" s="177" customFormat="1" ht="19.350000000000001" customHeight="1" x14ac:dyDescent="0.2">
      <c r="A54" s="464"/>
      <c r="B54" s="938"/>
      <c r="C54" s="536"/>
      <c r="D54" s="902"/>
      <c r="E54" s="936"/>
      <c r="F54" s="538"/>
      <c r="G54" s="902"/>
      <c r="H54" s="936"/>
      <c r="I54" s="494"/>
      <c r="J54" s="661"/>
      <c r="K54" s="662"/>
      <c r="L54" s="22"/>
      <c r="M54" s="22"/>
      <c r="N54" s="513"/>
      <c r="O54" s="22"/>
      <c r="P54" s="534"/>
      <c r="Q54" s="22"/>
      <c r="R54" s="22"/>
      <c r="S54" s="22"/>
      <c r="T54" s="677"/>
      <c r="U54" s="677"/>
      <c r="V54" s="677"/>
      <c r="W54" s="677"/>
      <c r="X54" s="677"/>
      <c r="Y54" s="677"/>
      <c r="Z54" s="677"/>
      <c r="AA54" s="513"/>
      <c r="AB54" s="513"/>
      <c r="AC54" s="513"/>
      <c r="AD54" s="513"/>
      <c r="AE54" s="513"/>
      <c r="AF54" s="513"/>
      <c r="AG54" s="513"/>
      <c r="AH54" s="677"/>
      <c r="AI54" s="677"/>
    </row>
    <row r="55" spans="1:35" s="177" customFormat="1" ht="19.350000000000001" customHeight="1" x14ac:dyDescent="0.2">
      <c r="A55" s="464"/>
      <c r="B55" s="938"/>
      <c r="C55" s="536"/>
      <c r="D55" s="902"/>
      <c r="E55" s="936"/>
      <c r="F55" s="538"/>
      <c r="G55" s="902"/>
      <c r="H55" s="936"/>
      <c r="I55" s="494"/>
      <c r="J55" s="661"/>
      <c r="K55" s="662"/>
      <c r="L55" s="22"/>
      <c r="M55" s="22"/>
      <c r="N55" s="513"/>
      <c r="O55" s="22"/>
      <c r="P55" s="534"/>
      <c r="Q55" s="22"/>
      <c r="R55" s="22"/>
      <c r="S55" s="22"/>
      <c r="T55" s="677"/>
      <c r="U55" s="677"/>
      <c r="V55" s="677"/>
      <c r="W55" s="677"/>
      <c r="X55" s="677"/>
      <c r="Y55" s="677"/>
      <c r="Z55" s="677"/>
      <c r="AA55" s="513"/>
      <c r="AB55" s="513"/>
      <c r="AC55" s="513"/>
      <c r="AD55" s="513"/>
      <c r="AE55" s="513"/>
      <c r="AF55" s="513"/>
      <c r="AG55" s="513"/>
      <c r="AH55" s="677"/>
      <c r="AI55" s="677"/>
    </row>
    <row r="56" spans="1:35" s="177" customFormat="1" ht="19.350000000000001" customHeight="1" x14ac:dyDescent="0.2">
      <c r="A56" s="464"/>
      <c r="B56" s="938"/>
      <c r="C56" s="536"/>
      <c r="D56" s="902"/>
      <c r="E56" s="936"/>
      <c r="F56" s="538"/>
      <c r="G56" s="902"/>
      <c r="H56" s="936"/>
      <c r="I56" s="494"/>
      <c r="J56" s="661"/>
      <c r="K56" s="662"/>
      <c r="L56" s="22"/>
      <c r="M56" s="22"/>
      <c r="N56" s="513"/>
      <c r="O56" s="22"/>
      <c r="P56" s="534"/>
      <c r="Q56" s="22"/>
      <c r="R56" s="22"/>
      <c r="S56" s="22"/>
      <c r="T56" s="677"/>
      <c r="U56" s="677"/>
      <c r="V56" s="677"/>
      <c r="W56" s="677"/>
      <c r="X56" s="677"/>
      <c r="Y56" s="677"/>
      <c r="Z56" s="677"/>
      <c r="AA56" s="513"/>
      <c r="AB56" s="513"/>
      <c r="AC56" s="513"/>
      <c r="AD56" s="513"/>
      <c r="AE56" s="513"/>
      <c r="AF56" s="513"/>
      <c r="AG56" s="513"/>
      <c r="AH56" s="677"/>
      <c r="AI56" s="677"/>
    </row>
    <row r="57" spans="1:35" s="177" customFormat="1" ht="19.350000000000001" customHeight="1" x14ac:dyDescent="0.2">
      <c r="A57" s="464"/>
      <c r="B57" s="938"/>
      <c r="C57" s="536"/>
      <c r="D57" s="902"/>
      <c r="E57" s="936"/>
      <c r="F57" s="538"/>
      <c r="G57" s="902"/>
      <c r="H57" s="936"/>
      <c r="I57" s="494"/>
      <c r="J57" s="661"/>
      <c r="K57" s="662"/>
      <c r="L57" s="22"/>
      <c r="M57" s="22"/>
      <c r="N57" s="513"/>
      <c r="O57" s="22"/>
      <c r="P57" s="534"/>
      <c r="Q57" s="22"/>
      <c r="R57" s="22"/>
      <c r="S57" s="22"/>
      <c r="T57" s="677"/>
      <c r="U57" s="677"/>
      <c r="V57" s="677"/>
      <c r="W57" s="677"/>
      <c r="X57" s="677"/>
      <c r="Y57" s="677"/>
      <c r="Z57" s="677"/>
      <c r="AA57" s="513"/>
      <c r="AB57" s="513"/>
      <c r="AC57" s="513"/>
      <c r="AD57" s="663"/>
      <c r="AE57" s="513"/>
      <c r="AF57" s="513"/>
      <c r="AG57" s="513"/>
      <c r="AH57" s="677"/>
      <c r="AI57" s="677"/>
    </row>
    <row r="58" spans="1:35" s="177" customFormat="1" ht="19.350000000000001" customHeight="1" x14ac:dyDescent="0.2">
      <c r="A58" s="464"/>
      <c r="B58" s="938"/>
      <c r="C58" s="536"/>
      <c r="D58" s="902"/>
      <c r="E58" s="936"/>
      <c r="F58" s="538"/>
      <c r="G58" s="902"/>
      <c r="H58" s="936"/>
      <c r="I58" s="494"/>
      <c r="J58" s="661"/>
      <c r="K58" s="662"/>
      <c r="L58" s="22"/>
      <c r="M58" s="22"/>
      <c r="N58" s="513"/>
      <c r="O58" s="22"/>
      <c r="P58" s="534"/>
      <c r="Q58" s="22"/>
      <c r="R58" s="22"/>
      <c r="S58" s="22"/>
      <c r="T58" s="677"/>
      <c r="U58" s="677"/>
      <c r="V58" s="677"/>
      <c r="W58" s="677"/>
      <c r="X58" s="677"/>
      <c r="Y58" s="677"/>
      <c r="Z58" s="677"/>
      <c r="AA58" s="513"/>
      <c r="AB58" s="663"/>
      <c r="AC58" s="663"/>
      <c r="AD58" s="663"/>
      <c r="AE58" s="513"/>
      <c r="AF58" s="513"/>
      <c r="AG58" s="513"/>
      <c r="AH58" s="677"/>
      <c r="AI58" s="677"/>
    </row>
    <row r="59" spans="1:35" s="177" customFormat="1" ht="19.350000000000001" customHeight="1" x14ac:dyDescent="0.2">
      <c r="A59" s="464"/>
      <c r="B59" s="938"/>
      <c r="C59" s="536"/>
      <c r="D59" s="902"/>
      <c r="E59" s="936"/>
      <c r="F59" s="538"/>
      <c r="G59" s="902"/>
      <c r="H59" s="936"/>
      <c r="I59" s="494"/>
      <c r="J59" s="661"/>
      <c r="K59" s="662"/>
      <c r="L59" s="22"/>
      <c r="M59" s="22"/>
      <c r="N59" s="513"/>
      <c r="O59" s="22"/>
      <c r="P59" s="534"/>
      <c r="Q59" s="22"/>
      <c r="R59" s="22"/>
      <c r="S59" s="22"/>
      <c r="T59" s="677"/>
      <c r="U59" s="677"/>
      <c r="V59" s="677"/>
      <c r="W59" s="677"/>
      <c r="X59" s="677"/>
      <c r="Y59" s="677"/>
      <c r="Z59" s="677"/>
      <c r="AA59" s="513"/>
      <c r="AB59" s="663"/>
      <c r="AC59" s="663"/>
      <c r="AD59" s="663"/>
      <c r="AE59" s="513"/>
      <c r="AF59" s="513"/>
      <c r="AG59" s="513"/>
      <c r="AH59" s="677"/>
      <c r="AI59" s="677"/>
    </row>
    <row r="60" spans="1:35" s="101" customFormat="1" ht="19.350000000000001" customHeight="1" outlineLevel="1" x14ac:dyDescent="0.2">
      <c r="B60" s="938"/>
      <c r="C60" s="536"/>
      <c r="D60" s="902"/>
      <c r="E60" s="936"/>
      <c r="F60" s="538"/>
      <c r="G60" s="902"/>
      <c r="H60" s="936"/>
      <c r="I60" s="659"/>
      <c r="J60" s="20"/>
      <c r="K60" s="20"/>
      <c r="L60" s="20"/>
      <c r="M60" s="20"/>
      <c r="N60" s="512"/>
      <c r="O60" s="20"/>
      <c r="P60" s="534"/>
      <c r="Q60" s="20"/>
      <c r="R60" s="20"/>
      <c r="S60" s="20"/>
      <c r="T60" s="676"/>
      <c r="U60" s="676"/>
      <c r="V60" s="676"/>
      <c r="W60" s="676"/>
      <c r="X60" s="676"/>
      <c r="Y60" s="676"/>
      <c r="Z60" s="676"/>
      <c r="AA60" s="512"/>
      <c r="AB60" s="664"/>
      <c r="AC60" s="664"/>
      <c r="AD60" s="664" t="s">
        <v>409</v>
      </c>
      <c r="AE60" s="512"/>
      <c r="AF60" s="512"/>
      <c r="AG60" s="512"/>
      <c r="AH60" s="676"/>
      <c r="AI60" s="676"/>
    </row>
    <row r="61" spans="1:35" s="101" customFormat="1" ht="1.35" customHeight="1" outlineLevel="1" thickBot="1" x14ac:dyDescent="0.25">
      <c r="B61" s="123"/>
      <c r="C61" s="123"/>
      <c r="D61" s="123"/>
      <c r="E61" s="123"/>
      <c r="F61" s="123"/>
      <c r="G61" s="123"/>
      <c r="H61" s="123"/>
      <c r="I61" s="567"/>
      <c r="J61" s="123"/>
      <c r="K61" s="123"/>
      <c r="L61" s="123"/>
      <c r="M61" s="123"/>
      <c r="N61" s="527"/>
      <c r="O61" s="123"/>
      <c r="P61" s="462"/>
      <c r="Q61" s="20"/>
      <c r="R61" s="20"/>
      <c r="S61" s="20"/>
      <c r="T61" s="676"/>
      <c r="U61" s="676"/>
      <c r="V61" s="676"/>
      <c r="W61" s="676"/>
      <c r="X61" s="676"/>
      <c r="Y61" s="676"/>
      <c r="Z61" s="676"/>
      <c r="AA61" s="512"/>
      <c r="AB61" s="664"/>
      <c r="AC61" s="665"/>
      <c r="AD61" s="664" t="s">
        <v>412</v>
      </c>
      <c r="AE61" s="512"/>
      <c r="AF61" s="512"/>
      <c r="AG61" s="512"/>
      <c r="AH61" s="676"/>
      <c r="AI61" s="676"/>
    </row>
    <row r="62" spans="1:35" s="101" customFormat="1" ht="27.6" customHeight="1" outlineLevel="1" x14ac:dyDescent="0.2">
      <c r="B62" s="20"/>
      <c r="C62" s="20"/>
      <c r="D62" s="20"/>
      <c r="E62" s="20"/>
      <c r="F62" s="20"/>
      <c r="G62" s="20"/>
      <c r="H62" s="20"/>
      <c r="I62" s="653"/>
      <c r="J62" s="20"/>
      <c r="K62" s="20"/>
      <c r="L62" s="20"/>
      <c r="M62" s="20"/>
      <c r="N62" s="512"/>
      <c r="O62" s="20"/>
      <c r="P62" s="22"/>
      <c r="Q62" s="20"/>
      <c r="R62" s="20"/>
      <c r="S62" s="20"/>
      <c r="T62" s="676"/>
      <c r="U62" s="676"/>
      <c r="V62" s="676"/>
      <c r="W62" s="676"/>
      <c r="X62" s="676"/>
      <c r="Y62" s="676"/>
      <c r="Z62" s="676"/>
      <c r="AA62" s="512"/>
      <c r="AB62" s="664"/>
      <c r="AC62" s="665"/>
      <c r="AD62" s="665" t="s">
        <v>198</v>
      </c>
      <c r="AE62" s="512"/>
      <c r="AF62" s="512"/>
      <c r="AG62" s="512"/>
      <c r="AH62" s="676"/>
      <c r="AI62" s="676"/>
    </row>
    <row r="63" spans="1:35" s="101" customFormat="1" ht="42" customHeight="1" outlineLevel="1" x14ac:dyDescent="0.2">
      <c r="B63" s="20"/>
      <c r="C63" s="20"/>
      <c r="D63" s="20"/>
      <c r="E63" s="20"/>
      <c r="F63" s="20"/>
      <c r="G63" s="20"/>
      <c r="H63" s="20"/>
      <c r="I63" s="481"/>
      <c r="N63" s="512"/>
      <c r="O63" s="20"/>
      <c r="P63" s="20"/>
      <c r="Q63" s="20"/>
      <c r="R63" s="20"/>
      <c r="S63" s="20"/>
      <c r="T63" s="676"/>
      <c r="U63" s="676"/>
      <c r="V63" s="676"/>
      <c r="W63" s="676"/>
      <c r="X63" s="676"/>
      <c r="Y63" s="676"/>
      <c r="Z63" s="676"/>
      <c r="AA63" s="512"/>
      <c r="AB63" s="664"/>
      <c r="AC63" s="664"/>
      <c r="AD63" s="665" t="s">
        <v>413</v>
      </c>
      <c r="AE63" s="512"/>
      <c r="AF63" s="512"/>
      <c r="AG63" s="512"/>
      <c r="AH63" s="676"/>
      <c r="AI63" s="676"/>
    </row>
    <row r="64" spans="1:35" s="101" customFormat="1" ht="26.45" hidden="1" customHeight="1" outlineLevel="1" x14ac:dyDescent="0.2">
      <c r="B64" s="20"/>
      <c r="C64" s="20"/>
      <c r="D64" s="20"/>
      <c r="E64" s="20"/>
      <c r="F64" s="20"/>
      <c r="G64" s="20"/>
      <c r="H64" s="20"/>
      <c r="I64" s="481"/>
      <c r="N64" s="512"/>
      <c r="O64" s="20"/>
      <c r="P64" s="20"/>
      <c r="Q64" s="20"/>
      <c r="R64" s="20"/>
      <c r="S64" s="20"/>
      <c r="T64" s="676"/>
      <c r="U64" s="676"/>
      <c r="V64" s="676"/>
      <c r="W64" s="676"/>
      <c r="X64" s="676"/>
      <c r="Y64" s="676"/>
      <c r="Z64" s="676"/>
      <c r="AA64" s="512"/>
      <c r="AB64" s="512"/>
      <c r="AC64" s="512"/>
      <c r="AD64" s="664"/>
      <c r="AE64" s="512"/>
      <c r="AF64" s="512"/>
      <c r="AG64" s="512"/>
      <c r="AH64" s="676"/>
      <c r="AI64" s="676"/>
    </row>
    <row r="65" spans="1:35" s="122" customFormat="1" ht="12.75" hidden="1" customHeight="1" x14ac:dyDescent="0.2">
      <c r="B65" s="575"/>
      <c r="C65" s="575"/>
      <c r="D65" s="575"/>
      <c r="E65" s="575"/>
      <c r="F65" s="575"/>
      <c r="G65" s="575"/>
      <c r="H65" s="479"/>
      <c r="I65" s="479"/>
      <c r="N65" s="514"/>
      <c r="O65" s="3"/>
      <c r="P65" s="3"/>
      <c r="Q65" s="3"/>
      <c r="R65" s="3"/>
      <c r="S65" s="3"/>
      <c r="T65" s="374"/>
      <c r="U65" s="374"/>
      <c r="V65" s="374"/>
      <c r="W65" s="374"/>
      <c r="X65" s="374"/>
      <c r="Y65" s="374"/>
      <c r="Z65" s="374"/>
      <c r="AA65" s="514"/>
      <c r="AB65" s="514"/>
      <c r="AC65" s="514"/>
      <c r="AD65" s="674"/>
      <c r="AE65" s="514"/>
      <c r="AF65" s="514"/>
      <c r="AG65" s="514"/>
      <c r="AH65" s="374"/>
      <c r="AI65" s="374"/>
    </row>
    <row r="66" spans="1:35" s="101" customFormat="1" ht="35.25" hidden="1" customHeight="1" outlineLevel="1" x14ac:dyDescent="0.2">
      <c r="B66" s="477"/>
      <c r="C66" s="482"/>
      <c r="D66" s="1659"/>
      <c r="E66" s="1659"/>
      <c r="F66" s="1659"/>
      <c r="G66" s="1660"/>
      <c r="H66" s="480"/>
      <c r="I66" s="481"/>
      <c r="N66" s="512"/>
      <c r="O66" s="20"/>
      <c r="P66" s="20"/>
      <c r="Q66" s="20"/>
      <c r="R66" s="20"/>
      <c r="S66" s="20"/>
      <c r="T66" s="676"/>
      <c r="U66" s="676"/>
      <c r="V66" s="676"/>
      <c r="W66" s="676"/>
      <c r="X66" s="676"/>
      <c r="Y66" s="676"/>
      <c r="Z66" s="676"/>
      <c r="AA66" s="512"/>
      <c r="AB66" s="512"/>
      <c r="AC66" s="512"/>
      <c r="AD66" s="664"/>
      <c r="AE66" s="512"/>
      <c r="AF66" s="512"/>
      <c r="AG66" s="512"/>
      <c r="AH66" s="676"/>
      <c r="AI66" s="676"/>
    </row>
    <row r="67" spans="1:35" s="101" customFormat="1" ht="35.25" hidden="1" customHeight="1" outlineLevel="1" x14ac:dyDescent="0.2">
      <c r="B67" s="475"/>
      <c r="C67" s="476"/>
      <c r="D67" s="1664"/>
      <c r="E67" s="1664"/>
      <c r="F67" s="1664"/>
      <c r="G67" s="1665"/>
      <c r="H67" s="478"/>
      <c r="I67" s="481"/>
      <c r="N67" s="512"/>
      <c r="O67" s="20"/>
      <c r="P67" s="20"/>
      <c r="Q67" s="20"/>
      <c r="R67" s="20"/>
      <c r="S67" s="20"/>
      <c r="T67" s="676"/>
      <c r="U67" s="676"/>
      <c r="V67" s="676"/>
      <c r="W67" s="676"/>
      <c r="X67" s="676"/>
      <c r="Y67" s="676"/>
      <c r="Z67" s="676"/>
      <c r="AA67" s="512"/>
      <c r="AB67" s="512"/>
      <c r="AC67" s="512"/>
      <c r="AD67" s="664"/>
      <c r="AE67" s="512"/>
      <c r="AF67" s="512"/>
      <c r="AG67" s="512"/>
      <c r="AH67" s="676"/>
      <c r="AI67" s="676"/>
    </row>
    <row r="68" spans="1:35" s="101" customFormat="1" ht="35.25" hidden="1" customHeight="1" outlineLevel="1" x14ac:dyDescent="0.2">
      <c r="B68" s="475"/>
      <c r="C68" s="476"/>
      <c r="D68" s="1664"/>
      <c r="E68" s="1664"/>
      <c r="F68" s="1664"/>
      <c r="G68" s="1665"/>
      <c r="H68" s="490"/>
      <c r="I68" s="481"/>
      <c r="N68" s="512"/>
      <c r="O68" s="20"/>
      <c r="P68" s="20"/>
      <c r="Q68" s="20"/>
      <c r="R68" s="20"/>
      <c r="S68" s="20"/>
      <c r="T68" s="676"/>
      <c r="U68" s="676"/>
      <c r="V68" s="676"/>
      <c r="W68" s="676"/>
      <c r="X68" s="676"/>
      <c r="Y68" s="676"/>
      <c r="Z68" s="676"/>
      <c r="AA68" s="512"/>
      <c r="AB68" s="512"/>
      <c r="AC68" s="512"/>
      <c r="AD68" s="664"/>
      <c r="AE68" s="512"/>
      <c r="AF68" s="512"/>
      <c r="AG68" s="512"/>
      <c r="AH68" s="676"/>
      <c r="AI68" s="676"/>
    </row>
    <row r="69" spans="1:35" s="101" customFormat="1" ht="14.25" hidden="1" x14ac:dyDescent="0.2">
      <c r="B69" s="51"/>
      <c r="C69" s="51"/>
      <c r="D69" s="52"/>
      <c r="E69" s="52"/>
      <c r="F69" s="52"/>
      <c r="G69" s="51"/>
      <c r="H69" s="20"/>
      <c r="I69" s="20"/>
      <c r="N69" s="512"/>
      <c r="O69" s="20"/>
      <c r="P69" s="20"/>
      <c r="Q69" s="20"/>
      <c r="R69" s="20"/>
      <c r="S69" s="20"/>
      <c r="T69" s="676"/>
      <c r="U69" s="676"/>
      <c r="V69" s="676"/>
      <c r="W69" s="676"/>
      <c r="X69" s="676"/>
      <c r="Y69" s="676"/>
      <c r="Z69" s="676"/>
      <c r="AA69" s="512"/>
      <c r="AB69" s="512"/>
      <c r="AC69" s="512"/>
      <c r="AD69" s="664"/>
      <c r="AE69" s="512"/>
      <c r="AF69" s="512"/>
      <c r="AG69" s="512"/>
      <c r="AH69" s="676"/>
      <c r="AI69" s="676"/>
    </row>
    <row r="70" spans="1:35" s="101" customFormat="1" hidden="1" x14ac:dyDescent="0.2">
      <c r="N70" s="512"/>
      <c r="O70" s="20"/>
      <c r="P70" s="20"/>
      <c r="Q70" s="20"/>
      <c r="R70" s="20"/>
      <c r="S70" s="20"/>
      <c r="T70" s="676"/>
      <c r="U70" s="676"/>
      <c r="V70" s="676"/>
      <c r="W70" s="676"/>
      <c r="X70" s="676"/>
      <c r="Y70" s="676"/>
      <c r="Z70" s="676"/>
      <c r="AA70" s="512"/>
      <c r="AB70" s="512"/>
      <c r="AC70" s="512"/>
      <c r="AD70" s="664"/>
      <c r="AE70" s="512"/>
      <c r="AF70" s="512"/>
      <c r="AG70" s="512"/>
      <c r="AH70" s="676"/>
      <c r="AI70" s="676"/>
    </row>
    <row r="71" spans="1:35" s="101" customFormat="1" ht="34.5" customHeight="1" x14ac:dyDescent="0.2">
      <c r="A71" s="20"/>
      <c r="B71" s="1651" t="s">
        <v>183</v>
      </c>
      <c r="C71" s="1651"/>
      <c r="D71" s="1651"/>
      <c r="E71" s="1651"/>
      <c r="F71" s="1651"/>
      <c r="G71" s="1651"/>
      <c r="H71" s="140"/>
      <c r="I71" s="140"/>
      <c r="J71" s="140"/>
      <c r="K71" s="140"/>
      <c r="N71" s="512"/>
      <c r="O71" s="20"/>
      <c r="P71" s="20"/>
      <c r="Q71" s="20"/>
      <c r="R71" s="20"/>
      <c r="S71" s="20"/>
      <c r="T71" s="676"/>
      <c r="U71" s="676"/>
      <c r="V71" s="676"/>
      <c r="W71" s="676"/>
      <c r="X71" s="676"/>
      <c r="Y71" s="676"/>
      <c r="Z71" s="676"/>
      <c r="AA71" s="512"/>
      <c r="AB71" s="512"/>
      <c r="AC71" s="512"/>
      <c r="AD71" s="664"/>
      <c r="AE71" s="512"/>
      <c r="AF71" s="512"/>
      <c r="AG71" s="512"/>
      <c r="AH71" s="676"/>
      <c r="AI71" s="676"/>
    </row>
    <row r="72" spans="1:35" s="31" customFormat="1" ht="18" customHeight="1" thickBot="1" x14ac:dyDescent="0.25">
      <c r="B72" s="91"/>
      <c r="C72" s="91"/>
      <c r="D72" s="91"/>
      <c r="E72" s="91"/>
      <c r="F72" s="91"/>
      <c r="G72" s="91"/>
      <c r="H72" s="572"/>
      <c r="I72" s="92"/>
      <c r="N72" s="515"/>
      <c r="O72" s="71"/>
      <c r="P72" s="71"/>
      <c r="Q72" s="71"/>
      <c r="R72" s="71"/>
      <c r="S72" s="71"/>
      <c r="T72" s="88"/>
      <c r="U72" s="88"/>
      <c r="V72" s="88"/>
      <c r="W72" s="88"/>
      <c r="X72" s="88"/>
      <c r="Y72" s="88"/>
      <c r="Z72" s="88"/>
      <c r="AA72" s="515"/>
      <c r="AB72" s="515"/>
      <c r="AC72" s="515"/>
      <c r="AD72" s="675"/>
      <c r="AE72" s="515"/>
      <c r="AF72" s="515"/>
      <c r="AG72" s="515"/>
      <c r="AH72" s="88"/>
      <c r="AI72" s="88"/>
    </row>
    <row r="73" spans="1:35" s="31" customFormat="1" ht="42" customHeight="1" thickBot="1" x14ac:dyDescent="0.25">
      <c r="B73" s="556" t="s">
        <v>104</v>
      </c>
      <c r="C73" s="556"/>
      <c r="D73" s="557"/>
      <c r="E73" s="557"/>
      <c r="F73" s="1661" t="s">
        <v>102</v>
      </c>
      <c r="G73" s="1662"/>
      <c r="H73" s="1662"/>
      <c r="I73" s="1663" t="s">
        <v>101</v>
      </c>
      <c r="J73" s="1663"/>
      <c r="K73" s="1663"/>
      <c r="L73" s="71"/>
      <c r="M73" s="71"/>
      <c r="N73" s="515"/>
      <c r="O73" s="71"/>
      <c r="P73" s="558"/>
      <c r="Q73" s="71"/>
      <c r="R73" s="71"/>
      <c r="S73" s="71"/>
      <c r="T73" s="88"/>
      <c r="U73" s="88"/>
      <c r="V73" s="88"/>
      <c r="W73" s="88"/>
      <c r="X73" s="88"/>
      <c r="Y73" s="88"/>
      <c r="Z73" s="88"/>
      <c r="AA73" s="515"/>
      <c r="AB73" s="515"/>
      <c r="AC73" s="515"/>
      <c r="AD73" s="675"/>
      <c r="AE73" s="515"/>
      <c r="AF73" s="515"/>
      <c r="AG73" s="515"/>
      <c r="AH73" s="88"/>
      <c r="AI73" s="88"/>
    </row>
    <row r="74" spans="1:35" s="31" customFormat="1" ht="1.35" customHeight="1" x14ac:dyDescent="0.2">
      <c r="B74" s="632"/>
      <c r="C74" s="632"/>
      <c r="D74" s="633"/>
      <c r="E74" s="633"/>
      <c r="F74" s="622"/>
      <c r="G74" s="622"/>
      <c r="H74" s="622"/>
      <c r="I74" s="625"/>
      <c r="J74" s="625"/>
      <c r="K74" s="625"/>
      <c r="L74" s="71"/>
      <c r="M74" s="71"/>
      <c r="N74" s="515"/>
      <c r="O74" s="71"/>
      <c r="P74" s="559"/>
      <c r="Q74" s="71"/>
      <c r="R74" s="71"/>
      <c r="S74" s="71"/>
      <c r="T74" s="88"/>
      <c r="U74" s="88"/>
      <c r="V74" s="88"/>
      <c r="W74" s="88"/>
      <c r="X74" s="88"/>
      <c r="Y74" s="88"/>
      <c r="Z74" s="88"/>
      <c r="AA74" s="515"/>
      <c r="AB74" s="515"/>
      <c r="AC74" s="515"/>
      <c r="AD74" s="515"/>
      <c r="AE74" s="515"/>
      <c r="AF74" s="515"/>
      <c r="AG74" s="515"/>
      <c r="AH74" s="88"/>
      <c r="AI74" s="88"/>
    </row>
    <row r="75" spans="1:35" s="31" customFormat="1" ht="45" customHeight="1" x14ac:dyDescent="0.2">
      <c r="A75" s="464"/>
      <c r="B75" s="670" t="s">
        <v>26</v>
      </c>
      <c r="C75" s="673" t="s">
        <v>398</v>
      </c>
      <c r="D75" s="673" t="s">
        <v>0</v>
      </c>
      <c r="E75" s="566" t="s">
        <v>27</v>
      </c>
      <c r="F75" s="657" t="s">
        <v>222</v>
      </c>
      <c r="G75" s="657" t="s">
        <v>0</v>
      </c>
      <c r="H75" s="658" t="s">
        <v>27</v>
      </c>
      <c r="I75" s="569" t="s">
        <v>222</v>
      </c>
      <c r="J75" s="570" t="s">
        <v>213</v>
      </c>
      <c r="K75" s="571" t="s">
        <v>211</v>
      </c>
      <c r="L75" s="71"/>
      <c r="M75" s="71"/>
      <c r="N75" s="515"/>
      <c r="O75" s="71"/>
      <c r="P75" s="559"/>
      <c r="Q75" s="71"/>
      <c r="R75" s="71"/>
      <c r="S75" s="71"/>
      <c r="T75" s="88"/>
      <c r="U75" s="88"/>
      <c r="V75" s="88"/>
      <c r="W75" s="88"/>
      <c r="X75" s="88"/>
      <c r="Y75" s="88"/>
      <c r="Z75" s="88"/>
      <c r="AA75" s="515"/>
      <c r="AB75" s="515"/>
      <c r="AC75" s="515"/>
      <c r="AD75" s="515"/>
      <c r="AE75" s="515"/>
      <c r="AF75" s="515"/>
      <c r="AG75" s="515"/>
      <c r="AH75" s="88"/>
      <c r="AI75" s="88"/>
    </row>
    <row r="76" spans="1:35" s="31" customFormat="1" ht="20.45" customHeight="1" x14ac:dyDescent="0.2">
      <c r="A76" s="464"/>
      <c r="B76" s="671" t="s">
        <v>410</v>
      </c>
      <c r="C76" s="574"/>
      <c r="D76" s="565"/>
      <c r="E76" s="565"/>
      <c r="F76" s="574"/>
      <c r="G76" s="565"/>
      <c r="H76" s="565"/>
      <c r="I76" s="315"/>
      <c r="J76" s="491"/>
      <c r="K76" s="492"/>
      <c r="L76" s="71"/>
      <c r="M76" s="71"/>
      <c r="N76" s="515"/>
      <c r="O76" s="71"/>
      <c r="P76" s="559"/>
      <c r="Q76" s="71"/>
      <c r="R76" s="71"/>
      <c r="S76" s="71"/>
      <c r="T76" s="88"/>
      <c r="U76" s="88"/>
      <c r="V76" s="88"/>
      <c r="W76" s="88"/>
      <c r="X76" s="88"/>
      <c r="Y76" s="88"/>
      <c r="Z76" s="88"/>
      <c r="AA76" s="88"/>
      <c r="AB76" s="88"/>
      <c r="AC76" s="88"/>
      <c r="AD76" s="88"/>
      <c r="AE76" s="88"/>
      <c r="AF76" s="88"/>
      <c r="AG76" s="88"/>
      <c r="AH76" s="88"/>
      <c r="AI76" s="88"/>
    </row>
    <row r="77" spans="1:35" s="31" customFormat="1" ht="18" customHeight="1" x14ac:dyDescent="0.2">
      <c r="A77" s="464"/>
      <c r="B77" s="671" t="s">
        <v>411</v>
      </c>
      <c r="C77" s="666"/>
      <c r="D77" s="565"/>
      <c r="E77" s="542"/>
      <c r="F77" s="666"/>
      <c r="G77" s="565"/>
      <c r="H77" s="667"/>
      <c r="I77" s="668"/>
      <c r="J77" s="669"/>
      <c r="K77" s="672"/>
      <c r="L77" s="71"/>
      <c r="M77" s="71"/>
      <c r="N77" s="515"/>
      <c r="O77" s="71"/>
      <c r="P77" s="559"/>
      <c r="Q77" s="71"/>
      <c r="R77" s="71"/>
      <c r="S77" s="71"/>
      <c r="T77" s="88"/>
      <c r="U77" s="88"/>
      <c r="V77" s="88"/>
      <c r="W77" s="88"/>
      <c r="X77" s="88"/>
      <c r="Y77" s="88"/>
      <c r="Z77" s="88"/>
      <c r="AA77" s="88"/>
      <c r="AB77" s="88"/>
      <c r="AC77" s="88"/>
      <c r="AD77" s="88"/>
      <c r="AE77" s="88"/>
      <c r="AF77" s="88"/>
      <c r="AG77" s="88"/>
      <c r="AH77" s="88"/>
      <c r="AI77" s="88"/>
    </row>
    <row r="78" spans="1:35" s="50" customFormat="1" ht="2.4500000000000002" customHeight="1" thickBot="1" x14ac:dyDescent="0.25">
      <c r="A78" s="464"/>
      <c r="B78" s="560"/>
      <c r="C78" s="560"/>
      <c r="D78" s="560"/>
      <c r="E78" s="560"/>
      <c r="F78" s="560"/>
      <c r="G78" s="560"/>
      <c r="H78" s="561"/>
      <c r="I78" s="561"/>
      <c r="J78" s="561"/>
      <c r="K78" s="561"/>
      <c r="L78" s="561"/>
      <c r="M78" s="561"/>
      <c r="N78" s="562"/>
      <c r="O78" s="561"/>
      <c r="P78" s="563"/>
      <c r="T78" s="678"/>
      <c r="U78" s="678"/>
      <c r="V78" s="678"/>
      <c r="W78" s="678"/>
      <c r="X78" s="678"/>
      <c r="Y78" s="678"/>
      <c r="Z78" s="678"/>
      <c r="AA78" s="678"/>
      <c r="AB78" s="678"/>
      <c r="AC78" s="678"/>
      <c r="AD78" s="678"/>
      <c r="AE78" s="678"/>
      <c r="AF78" s="678"/>
      <c r="AG78" s="678"/>
      <c r="AH78" s="678"/>
      <c r="AI78" s="678"/>
    </row>
    <row r="79" spans="1:35" x14ac:dyDescent="0.2">
      <c r="B79" s="19"/>
      <c r="C79" s="19"/>
      <c r="D79" s="19"/>
      <c r="E79" s="27"/>
      <c r="F79" s="19"/>
      <c r="G79" s="19"/>
      <c r="T79" s="676"/>
      <c r="U79" s="676"/>
      <c r="V79" s="676"/>
      <c r="W79" s="676"/>
      <c r="X79" s="676"/>
      <c r="Y79" s="676"/>
      <c r="Z79" s="676"/>
      <c r="AA79" s="676"/>
      <c r="AB79" s="676"/>
      <c r="AC79" s="676"/>
      <c r="AD79" s="676"/>
      <c r="AE79" s="676"/>
      <c r="AF79" s="676"/>
      <c r="AG79" s="676"/>
      <c r="AH79" s="676"/>
      <c r="AI79" s="676"/>
    </row>
    <row r="80" spans="1:35" x14ac:dyDescent="0.2">
      <c r="B80" s="19"/>
      <c r="C80" s="19"/>
      <c r="D80" s="19"/>
      <c r="E80" s="27"/>
      <c r="F80" s="19"/>
      <c r="G80" s="19"/>
      <c r="T80" s="676"/>
      <c r="U80" s="676"/>
      <c r="V80" s="676"/>
      <c r="W80" s="676"/>
      <c r="X80" s="676"/>
      <c r="Y80" s="676"/>
      <c r="Z80" s="676"/>
      <c r="AA80" s="676"/>
      <c r="AB80" s="676"/>
      <c r="AC80" s="676"/>
      <c r="AD80" s="676"/>
      <c r="AE80" s="676"/>
      <c r="AF80" s="676"/>
      <c r="AG80" s="676"/>
      <c r="AH80" s="676"/>
      <c r="AI80" s="676"/>
    </row>
  </sheetData>
  <sheetProtection algorithmName="SHA-512" hashValue="OMOufLlgsFpROwsDQ/c2NuQGM3FQk32EbrGdzLeaAYb7GO8eUfU7kcVU3x1Egh8O2fUiSs1M4Zh0nzGMLQQcAQ==" saltValue="bYPS8MOvph2xignFer/pYA==" spinCount="100000" sheet="1" objects="1" scenarios="1" formatCells="0" formatColumns="0" formatRows="0" sort="0" autoFilter="0"/>
  <autoFilter ref="B9:N14"/>
  <customSheetViews>
    <customSheetView guid="{E26F941C-F347-432D-B4B3-73B25F002075}" scale="55" showPageBreaks="1" showGridLines="0" fitToPage="1" topLeftCell="A7">
      <selection activeCell="A15" sqref="A15:L18"/>
      <pageMargins left="0.56999999999999995" right="0.45" top="0.59" bottom="0.64" header="0.51181102362204722" footer="0.51181102362204722"/>
      <printOptions horizontalCentered="1"/>
      <pageSetup paperSize="9" scale="41" orientation="landscape" cellComments="asDisplayed" r:id="rId1"/>
      <headerFooter alignWithMargins="0">
        <oddFooter>&amp;L&amp;9SD 3.1A - Form, Ongoing DR/PU and LFA Review and Recommendation_v2.1 February 2006&amp;R&amp;9Page &amp;P of &amp;N</oddFooter>
      </headerFooter>
    </customSheetView>
  </customSheetViews>
  <mergeCells count="24">
    <mergeCell ref="E23:G23"/>
    <mergeCell ref="J7:K7"/>
    <mergeCell ref="B1:H1"/>
    <mergeCell ref="B20:H20"/>
    <mergeCell ref="B6:G6"/>
    <mergeCell ref="B7:E7"/>
    <mergeCell ref="G7:H7"/>
    <mergeCell ref="E18:G18"/>
    <mergeCell ref="E22:G22"/>
    <mergeCell ref="E19:G19"/>
    <mergeCell ref="E16:G16"/>
    <mergeCell ref="E15:G15"/>
    <mergeCell ref="E17:G17"/>
    <mergeCell ref="E21:G21"/>
    <mergeCell ref="B71:G71"/>
    <mergeCell ref="F73:H73"/>
    <mergeCell ref="I73:K73"/>
    <mergeCell ref="D67:G67"/>
    <mergeCell ref="D68:G68"/>
    <mergeCell ref="B25:G25"/>
    <mergeCell ref="B26:H26"/>
    <mergeCell ref="G27:H27"/>
    <mergeCell ref="J27:K27"/>
    <mergeCell ref="D66:G66"/>
  </mergeCells>
  <phoneticPr fontId="0" type="noConversion"/>
  <conditionalFormatting sqref="B78:C78">
    <cfRule type="cellIs" dxfId="115" priority="15" stopIfTrue="1" operator="notEqual">
      <formula>#REF!</formula>
    </cfRule>
    <cfRule type="cellIs" dxfId="114" priority="16" stopIfTrue="1" operator="notEqual">
      <formula>#REF!</formula>
    </cfRule>
  </conditionalFormatting>
  <conditionalFormatting sqref="B23:C23 B15:C17">
    <cfRule type="cellIs" dxfId="113" priority="42" stopIfTrue="1" operator="notEqual">
      <formula>#REF!</formula>
    </cfRule>
  </conditionalFormatting>
  <conditionalFormatting sqref="B19:C19 B21:C22">
    <cfRule type="cellIs" dxfId="112" priority="10" stopIfTrue="1" operator="notEqual">
      <formula>#REF!</formula>
    </cfRule>
  </conditionalFormatting>
  <conditionalFormatting sqref="B18:C18">
    <cfRule type="cellIs" dxfId="111" priority="8" stopIfTrue="1" operator="notEqual">
      <formula>#REF!</formula>
    </cfRule>
  </conditionalFormatting>
  <conditionalFormatting sqref="H17:I19 H21:I23">
    <cfRule type="cellIs" dxfId="110" priority="7" stopIfTrue="1" operator="notEqual">
      <formula>#REF!</formula>
    </cfRule>
  </conditionalFormatting>
  <conditionalFormatting sqref="B72:C72 B75 B24:C24">
    <cfRule type="cellIs" dxfId="109" priority="2" stopIfTrue="1" operator="notEqual">
      <formula>#REF!</formula>
    </cfRule>
    <cfRule type="cellIs" dxfId="108" priority="3" stopIfTrue="1" operator="notEqual">
      <formula>#REF!</formula>
    </cfRule>
  </conditionalFormatting>
  <conditionalFormatting sqref="B69:F69">
    <cfRule type="cellIs" dxfId="107" priority="1" stopIfTrue="1" operator="notEqual">
      <formula>#REF!</formula>
    </cfRule>
  </conditionalFormatting>
  <dataValidations count="8">
    <dataValidation type="list" allowBlank="1" showInputMessage="1" showErrorMessage="1" sqref="J30:J59 J10:J14">
      <formula1>"Select,Met,Unmet - In Progress,Unmet - Not started"</formula1>
    </dataValidation>
    <dataValidation type="date" allowBlank="1" showInputMessage="1" showErrorMessage="1" sqref="C76:C77">
      <formula1>39814</formula1>
      <formula2>43831</formula2>
    </dataValidation>
    <dataValidation type="list" allowBlank="1" showInputMessage="1" showErrorMessage="1" sqref="J76:J77">
      <formula1>"Submitted to GF, Preparation on track, Overdue"</formula1>
    </dataValidation>
    <dataValidation type="list" allowBlank="1" showInputMessage="1" showErrorMessage="1" sqref="D76:D77 G76:G77">
      <formula1>"Select,Submitted to GF, Preparation on track, Overdue"</formula1>
    </dataValidation>
    <dataValidation type="list" allowBlank="1" showInputMessage="1" showErrorMessage="1" sqref="G45:G60 D45:D60">
      <formula1>NewStatus</formula1>
    </dataValidation>
    <dataValidation type="list" allowBlank="1" showInputMessage="1" showErrorMessage="1" errorTitle="X-Author for Excel" error="Please select a value from the drop-down." promptTitle="X-Author for Excel" sqref="G10:G44">
      <formula1>IF(IFERROR(ROWS(INDIRECT(SUBSTITUTE("AIM_Grant_Requirement__c.AIM_Status_LFA__c"," ","_"))),-1) &lt; 0, XAuthorInvalidPicklistData,INDIRECT(SUBSTITUTE("AIM_Grant_Requirement__c.AIM_Status_LFA__c"," ","_")))</formula1>
    </dataValidation>
    <dataValidation type="list" allowBlank="1" showInputMessage="1" showErrorMessage="1" errorTitle="X-Author for Excel" error="Please select a value from the drop-down." promptTitle="X-Author for Excel" sqref="D10:D44">
      <formula1>IF(IFERROR(ROWS(INDIRECT(SUBSTITUTE("AIM_Grant_Requirement__c.AIM_Status_PR__c"," ","_"))),-1) &lt; 0, XAuthorInvalidPicklistData,INDIRECT(SUBSTITUTE("AIM_Grant_Requirement__c.AIM_Status_PR__c"," ","_")))</formula1>
    </dataValidation>
    <dataValidation type="custom" allowBlank="1" showInputMessage="1" showErrorMessage="1" errorTitle="X-Author for Excel" error="Id and Lookup fields are not editable." promptTitle="X-Author for Excel" sqref="N10:N14">
      <formula1>""</formula1>
    </dataValidation>
  </dataValidations>
  <printOptions horizontalCentered="1"/>
  <pageMargins left="0.25" right="0.25" top="0.75" bottom="0.75" header="0.3" footer="0.3"/>
  <pageSetup paperSize="9" scale="39" orientation="landscape" cellComments="asDisplayed" r:id="rId2"/>
  <headerFooter alignWithMargins="0">
    <oddFooter>&amp;L&amp;9&amp;A&amp;R&amp;9&amp;P</oddFooter>
  </headerFooter>
  <rowBreaks count="1" manualBreakCount="1">
    <brk id="19" max="15" man="1"/>
  </rowBreaks>
  <colBreaks count="1" manualBreakCount="1">
    <brk id="8" max="72"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theme="5"/>
  </sheetPr>
  <dimension ref="A1:AB80"/>
  <sheetViews>
    <sheetView showGridLines="0" view="pageBreakPreview" topLeftCell="A4" zoomScale="80" zoomScaleNormal="60" zoomScaleSheetLayoutView="80" workbookViewId="0">
      <selection activeCell="A6" sqref="A6:O10"/>
    </sheetView>
  </sheetViews>
  <sheetFormatPr defaultColWidth="9.140625" defaultRowHeight="12.75" x14ac:dyDescent="0.2"/>
  <cols>
    <col min="1" max="1" width="12.140625" style="101" customWidth="1"/>
    <col min="2" max="2" width="28.85546875" style="101" customWidth="1"/>
    <col min="3" max="3" width="22.42578125" style="101" customWidth="1"/>
    <col min="4" max="4" width="16.85546875" style="101" customWidth="1"/>
    <col min="5" max="5" width="21.85546875" style="101" customWidth="1"/>
    <col min="6" max="6" width="15.85546875" style="101" customWidth="1"/>
    <col min="7" max="7" width="10.140625" style="101" customWidth="1"/>
    <col min="8" max="8" width="22.140625" style="101" customWidth="1"/>
    <col min="9" max="9" width="9.140625" style="101" customWidth="1"/>
    <col min="10" max="11" width="9.140625" style="101"/>
    <col min="12" max="12" width="3.140625" style="101" customWidth="1"/>
    <col min="13" max="14" width="9.140625" style="101"/>
    <col min="15" max="15" width="17.5703125" style="101" customWidth="1"/>
    <col min="16" max="16384" width="9.140625" style="101"/>
  </cols>
  <sheetData>
    <row r="1" spans="1:18" s="130" customFormat="1" ht="50.25" customHeight="1" x14ac:dyDescent="0.6">
      <c r="A1" s="1446" t="str">
        <f>IF(CoverSheet!J12="N/A","Progress Report","Progress Report with Disbursement Request")</f>
        <v>Progress Report with Disbursement Request</v>
      </c>
      <c r="B1" s="1446"/>
      <c r="C1" s="1446"/>
      <c r="D1" s="1446"/>
      <c r="E1" s="1446"/>
      <c r="F1" s="1446"/>
      <c r="G1" s="1446"/>
      <c r="H1" s="1446"/>
      <c r="I1" s="1446"/>
      <c r="J1" s="1446"/>
      <c r="K1" s="1446"/>
      <c r="L1" s="1446"/>
      <c r="M1" s="1446"/>
      <c r="N1" s="1446"/>
      <c r="O1" s="1446"/>
      <c r="P1" s="1446"/>
    </row>
    <row r="2" spans="1:18" ht="20.25" x14ac:dyDescent="0.3">
      <c r="A2" s="138" t="s">
        <v>246</v>
      </c>
      <c r="B2" s="141"/>
      <c r="C2" s="141"/>
      <c r="D2" s="141"/>
      <c r="E2" s="141"/>
      <c r="F2" s="141"/>
      <c r="G2" s="141"/>
      <c r="H2" s="141"/>
      <c r="I2" s="141"/>
      <c r="J2" s="141"/>
      <c r="K2" s="141"/>
      <c r="L2" s="140"/>
      <c r="M2" s="140"/>
      <c r="N2" s="140"/>
      <c r="O2" s="140"/>
    </row>
    <row r="3" spans="1:18" ht="20.25" x14ac:dyDescent="0.3">
      <c r="A3" s="54"/>
      <c r="B3" s="54"/>
      <c r="C3" s="54"/>
      <c r="D3" s="54"/>
      <c r="E3" s="54"/>
      <c r="F3" s="54"/>
      <c r="G3" s="54"/>
      <c r="H3" s="54"/>
      <c r="I3" s="54"/>
      <c r="J3" s="54"/>
      <c r="K3" s="54"/>
    </row>
    <row r="4" spans="1:18" ht="44.25" customHeight="1" x14ac:dyDescent="0.2">
      <c r="A4" s="1702" t="s">
        <v>247</v>
      </c>
      <c r="B4" s="1702"/>
      <c r="C4" s="1702"/>
      <c r="D4" s="1702"/>
      <c r="E4" s="1702"/>
      <c r="F4" s="1702"/>
      <c r="G4" s="1702"/>
      <c r="H4" s="1702"/>
      <c r="I4" s="1702"/>
      <c r="J4" s="1702"/>
      <c r="K4" s="1702"/>
      <c r="L4" s="1702"/>
      <c r="M4" s="1702"/>
      <c r="N4" s="1702"/>
      <c r="O4" s="1702"/>
    </row>
    <row r="5" spans="1:18" ht="36" customHeight="1" x14ac:dyDescent="0.2">
      <c r="A5" s="1681" t="s">
        <v>105</v>
      </c>
      <c r="B5" s="1682"/>
      <c r="C5" s="1682"/>
      <c r="D5" s="1682"/>
      <c r="E5" s="1682"/>
      <c r="F5" s="1682"/>
      <c r="G5" s="1682"/>
      <c r="H5" s="1682"/>
      <c r="I5" s="1682"/>
      <c r="J5" s="1682"/>
      <c r="K5" s="1682"/>
    </row>
    <row r="6" spans="1:18" x14ac:dyDescent="0.2">
      <c r="A6" s="1684" t="s">
        <v>1651</v>
      </c>
      <c r="B6" s="1685"/>
      <c r="C6" s="1685"/>
      <c r="D6" s="1685"/>
      <c r="E6" s="1685"/>
      <c r="F6" s="1685"/>
      <c r="G6" s="1685"/>
      <c r="H6" s="1685"/>
      <c r="I6" s="1685"/>
      <c r="J6" s="1685"/>
      <c r="K6" s="1685"/>
      <c r="L6" s="1685"/>
      <c r="M6" s="1685"/>
      <c r="N6" s="1685"/>
      <c r="O6" s="1686"/>
    </row>
    <row r="7" spans="1:18" ht="26.25" customHeight="1" x14ac:dyDescent="0.2">
      <c r="A7" s="1687"/>
      <c r="B7" s="1688"/>
      <c r="C7" s="1688"/>
      <c r="D7" s="1688"/>
      <c r="E7" s="1688"/>
      <c r="F7" s="1688"/>
      <c r="G7" s="1688"/>
      <c r="H7" s="1688"/>
      <c r="I7" s="1688"/>
      <c r="J7" s="1688"/>
      <c r="K7" s="1688"/>
      <c r="L7" s="1688"/>
      <c r="M7" s="1688"/>
      <c r="N7" s="1688"/>
      <c r="O7" s="1689"/>
    </row>
    <row r="8" spans="1:18" ht="13.5" customHeight="1" x14ac:dyDescent="0.2">
      <c r="A8" s="1687"/>
      <c r="B8" s="1688"/>
      <c r="C8" s="1688"/>
      <c r="D8" s="1688"/>
      <c r="E8" s="1688"/>
      <c r="F8" s="1688"/>
      <c r="G8" s="1688"/>
      <c r="H8" s="1688"/>
      <c r="I8" s="1688"/>
      <c r="J8" s="1688"/>
      <c r="K8" s="1688"/>
      <c r="L8" s="1688"/>
      <c r="M8" s="1688"/>
      <c r="N8" s="1688"/>
      <c r="O8" s="1689"/>
    </row>
    <row r="9" spans="1:18" s="8" customFormat="1" ht="24" customHeight="1" x14ac:dyDescent="0.2">
      <c r="A9" s="1687"/>
      <c r="B9" s="1688"/>
      <c r="C9" s="1688"/>
      <c r="D9" s="1688"/>
      <c r="E9" s="1688"/>
      <c r="F9" s="1688"/>
      <c r="G9" s="1688"/>
      <c r="H9" s="1688"/>
      <c r="I9" s="1688"/>
      <c r="J9" s="1688"/>
      <c r="K9" s="1688"/>
      <c r="L9" s="1688"/>
      <c r="M9" s="1688"/>
      <c r="N9" s="1688"/>
      <c r="O9" s="1689"/>
      <c r="P9" s="101"/>
      <c r="Q9" s="101"/>
      <c r="R9" s="101"/>
    </row>
    <row r="10" spans="1:18" ht="45.75" customHeight="1" x14ac:dyDescent="0.2">
      <c r="A10" s="1690"/>
      <c r="B10" s="1691"/>
      <c r="C10" s="1691"/>
      <c r="D10" s="1691"/>
      <c r="E10" s="1691"/>
      <c r="F10" s="1691"/>
      <c r="G10" s="1691"/>
      <c r="H10" s="1691"/>
      <c r="I10" s="1691"/>
      <c r="J10" s="1691"/>
      <c r="K10" s="1691"/>
      <c r="L10" s="1691"/>
      <c r="M10" s="1691"/>
      <c r="N10" s="1691"/>
      <c r="O10" s="1692"/>
    </row>
    <row r="11" spans="1:18" ht="25.5" customHeight="1" x14ac:dyDescent="0.3">
      <c r="A11" s="54"/>
      <c r="B11" s="54"/>
      <c r="C11" s="54"/>
      <c r="D11" s="54"/>
      <c r="E11" s="54"/>
      <c r="F11" s="54"/>
      <c r="G11" s="54"/>
      <c r="H11" s="54"/>
      <c r="I11" s="54"/>
      <c r="J11" s="54"/>
      <c r="K11" s="54"/>
    </row>
    <row r="12" spans="1:18" ht="25.5" customHeight="1" x14ac:dyDescent="0.2">
      <c r="A12" s="1683" t="s">
        <v>54</v>
      </c>
      <c r="B12" s="1683"/>
      <c r="C12" s="1683"/>
      <c r="D12" s="1683"/>
      <c r="E12" s="1683"/>
      <c r="F12" s="1683"/>
      <c r="G12" s="1683"/>
      <c r="H12" s="1683"/>
      <c r="I12" s="1683"/>
      <c r="J12" s="1683"/>
      <c r="K12" s="1683"/>
      <c r="L12" s="1683"/>
      <c r="M12" s="1683"/>
      <c r="N12" s="1683"/>
      <c r="O12" s="1683"/>
    </row>
    <row r="13" spans="1:18" ht="25.5" customHeight="1" x14ac:dyDescent="0.2">
      <c r="A13" s="1693"/>
      <c r="B13" s="1694"/>
      <c r="C13" s="1694"/>
      <c r="D13" s="1694"/>
      <c r="E13" s="1694"/>
      <c r="F13" s="1694"/>
      <c r="G13" s="1694"/>
      <c r="H13" s="1694"/>
      <c r="I13" s="1694"/>
      <c r="J13" s="1694"/>
      <c r="K13" s="1694"/>
      <c r="L13" s="1694"/>
      <c r="M13" s="1694"/>
      <c r="N13" s="1694"/>
      <c r="O13" s="1695"/>
    </row>
    <row r="14" spans="1:18" ht="25.5" customHeight="1" x14ac:dyDescent="0.2">
      <c r="A14" s="1696"/>
      <c r="B14" s="1697"/>
      <c r="C14" s="1697"/>
      <c r="D14" s="1697"/>
      <c r="E14" s="1697"/>
      <c r="F14" s="1697"/>
      <c r="G14" s="1697"/>
      <c r="H14" s="1697"/>
      <c r="I14" s="1697"/>
      <c r="J14" s="1697"/>
      <c r="K14" s="1697"/>
      <c r="L14" s="1697"/>
      <c r="M14" s="1697"/>
      <c r="N14" s="1697"/>
      <c r="O14" s="1698"/>
    </row>
    <row r="15" spans="1:18" ht="25.5" customHeight="1" x14ac:dyDescent="0.2">
      <c r="A15" s="1696"/>
      <c r="B15" s="1697"/>
      <c r="C15" s="1697"/>
      <c r="D15" s="1697"/>
      <c r="E15" s="1697"/>
      <c r="F15" s="1697"/>
      <c r="G15" s="1697"/>
      <c r="H15" s="1697"/>
      <c r="I15" s="1697"/>
      <c r="J15" s="1697"/>
      <c r="K15" s="1697"/>
      <c r="L15" s="1697"/>
      <c r="M15" s="1697"/>
      <c r="N15" s="1697"/>
      <c r="O15" s="1698"/>
    </row>
    <row r="16" spans="1:18" x14ac:dyDescent="0.2">
      <c r="A16" s="1696"/>
      <c r="B16" s="1697"/>
      <c r="C16" s="1697"/>
      <c r="D16" s="1697"/>
      <c r="E16" s="1697"/>
      <c r="F16" s="1697"/>
      <c r="G16" s="1697"/>
      <c r="H16" s="1697"/>
      <c r="I16" s="1697"/>
      <c r="J16" s="1697"/>
      <c r="K16" s="1697"/>
      <c r="L16" s="1697"/>
      <c r="M16" s="1697"/>
      <c r="N16" s="1697"/>
      <c r="O16" s="1698"/>
    </row>
    <row r="17" spans="1:15" ht="27" customHeight="1" x14ac:dyDescent="0.2">
      <c r="A17" s="1699"/>
      <c r="B17" s="1700"/>
      <c r="C17" s="1700"/>
      <c r="D17" s="1700"/>
      <c r="E17" s="1700"/>
      <c r="F17" s="1700"/>
      <c r="G17" s="1700"/>
      <c r="H17" s="1700"/>
      <c r="I17" s="1700"/>
      <c r="J17" s="1700"/>
      <c r="K17" s="1700"/>
      <c r="L17" s="1700"/>
      <c r="M17" s="1700"/>
      <c r="N17" s="1700"/>
      <c r="O17" s="1701"/>
    </row>
    <row r="18" spans="1:15" ht="21" customHeight="1" x14ac:dyDescent="0.2">
      <c r="A18" s="55"/>
      <c r="B18" s="55"/>
      <c r="C18" s="55"/>
      <c r="D18" s="55"/>
      <c r="E18" s="55"/>
      <c r="F18" s="55"/>
      <c r="G18" s="55"/>
      <c r="H18" s="55"/>
      <c r="I18" s="55"/>
      <c r="J18" s="55"/>
      <c r="K18" s="55"/>
    </row>
    <row r="19" spans="1:15" ht="25.5" customHeight="1" x14ac:dyDescent="0.2">
      <c r="A19" s="1683" t="s">
        <v>55</v>
      </c>
      <c r="B19" s="1683"/>
      <c r="C19" s="1683"/>
      <c r="D19" s="1683"/>
      <c r="E19" s="1683"/>
      <c r="F19" s="1683"/>
      <c r="G19" s="1683"/>
      <c r="H19" s="1683"/>
      <c r="I19" s="1683"/>
      <c r="J19" s="1683"/>
      <c r="K19" s="1683"/>
      <c r="L19" s="1683"/>
      <c r="M19" s="1683"/>
      <c r="N19" s="1683"/>
      <c r="O19" s="1683"/>
    </row>
    <row r="20" spans="1:15" ht="21" customHeight="1" x14ac:dyDescent="0.2">
      <c r="A20" s="1693"/>
      <c r="B20" s="1694"/>
      <c r="C20" s="1694"/>
      <c r="D20" s="1694"/>
      <c r="E20" s="1694"/>
      <c r="F20" s="1694"/>
      <c r="G20" s="1694"/>
      <c r="H20" s="1694"/>
      <c r="I20" s="1694"/>
      <c r="J20" s="1694"/>
      <c r="K20" s="1694"/>
      <c r="L20" s="1694"/>
      <c r="M20" s="1694"/>
      <c r="N20" s="1694"/>
      <c r="O20" s="1695"/>
    </row>
    <row r="21" spans="1:15" ht="21" customHeight="1" x14ac:dyDescent="0.2">
      <c r="A21" s="1696"/>
      <c r="B21" s="1697"/>
      <c r="C21" s="1697"/>
      <c r="D21" s="1697"/>
      <c r="E21" s="1697"/>
      <c r="F21" s="1697"/>
      <c r="G21" s="1697"/>
      <c r="H21" s="1697"/>
      <c r="I21" s="1697"/>
      <c r="J21" s="1697"/>
      <c r="K21" s="1697"/>
      <c r="L21" s="1697"/>
      <c r="M21" s="1697"/>
      <c r="N21" s="1697"/>
      <c r="O21" s="1698"/>
    </row>
    <row r="22" spans="1:15" ht="21" customHeight="1" x14ac:dyDescent="0.2">
      <c r="A22" s="1696"/>
      <c r="B22" s="1697"/>
      <c r="C22" s="1697"/>
      <c r="D22" s="1697"/>
      <c r="E22" s="1697"/>
      <c r="F22" s="1697"/>
      <c r="G22" s="1697"/>
      <c r="H22" s="1697"/>
      <c r="I22" s="1697"/>
      <c r="J22" s="1697"/>
      <c r="K22" s="1697"/>
      <c r="L22" s="1697"/>
      <c r="M22" s="1697"/>
      <c r="N22" s="1697"/>
      <c r="O22" s="1698"/>
    </row>
    <row r="23" spans="1:15" x14ac:dyDescent="0.2">
      <c r="A23" s="1696"/>
      <c r="B23" s="1697"/>
      <c r="C23" s="1697"/>
      <c r="D23" s="1697"/>
      <c r="E23" s="1697"/>
      <c r="F23" s="1697"/>
      <c r="G23" s="1697"/>
      <c r="H23" s="1697"/>
      <c r="I23" s="1697"/>
      <c r="J23" s="1697"/>
      <c r="K23" s="1697"/>
      <c r="L23" s="1697"/>
      <c r="M23" s="1697"/>
      <c r="N23" s="1697"/>
      <c r="O23" s="1698"/>
    </row>
    <row r="24" spans="1:15" ht="27.75" customHeight="1" x14ac:dyDescent="0.2">
      <c r="A24" s="1699"/>
      <c r="B24" s="1700"/>
      <c r="C24" s="1700"/>
      <c r="D24" s="1700"/>
      <c r="E24" s="1700"/>
      <c r="F24" s="1700"/>
      <c r="G24" s="1700"/>
      <c r="H24" s="1700"/>
      <c r="I24" s="1700"/>
      <c r="J24" s="1700"/>
      <c r="K24" s="1700"/>
      <c r="L24" s="1700"/>
      <c r="M24" s="1700"/>
      <c r="N24" s="1700"/>
      <c r="O24" s="1701"/>
    </row>
    <row r="25" spans="1:15" ht="27" customHeight="1" x14ac:dyDescent="0.2">
      <c r="A25" s="19"/>
      <c r="B25" s="19"/>
      <c r="C25" s="19"/>
      <c r="D25" s="19"/>
      <c r="E25" s="19"/>
      <c r="F25" s="19"/>
      <c r="G25" s="19"/>
      <c r="H25" s="19"/>
      <c r="I25" s="19"/>
      <c r="J25" s="19"/>
      <c r="K25" s="19"/>
    </row>
    <row r="26" spans="1:15" ht="27" customHeight="1" x14ac:dyDescent="0.4">
      <c r="A26" s="45" t="s">
        <v>102</v>
      </c>
      <c r="B26" s="104"/>
      <c r="C26" s="104"/>
      <c r="D26" s="104"/>
      <c r="E26" s="104"/>
      <c r="F26" s="104"/>
      <c r="G26" s="104"/>
      <c r="H26" s="104"/>
      <c r="I26" s="104"/>
      <c r="J26" s="104"/>
      <c r="K26" s="104"/>
      <c r="L26" s="104"/>
      <c r="M26" s="104"/>
      <c r="N26" s="104"/>
    </row>
    <row r="27" spans="1:15" ht="27" customHeight="1" x14ac:dyDescent="0.3">
      <c r="A27" s="56"/>
      <c r="B27" s="56"/>
      <c r="C27" s="56"/>
      <c r="D27" s="56"/>
      <c r="E27" s="56"/>
      <c r="F27" s="56"/>
      <c r="G27" s="57"/>
      <c r="H27" s="57"/>
      <c r="I27" s="57"/>
      <c r="J27" s="57"/>
      <c r="K27" s="58"/>
    </row>
    <row r="28" spans="1:15" ht="41.25" customHeight="1" x14ac:dyDescent="0.2">
      <c r="A28" s="1680" t="s">
        <v>106</v>
      </c>
      <c r="B28" s="1680"/>
      <c r="C28" s="1680"/>
      <c r="D28" s="1680"/>
      <c r="E28" s="1680"/>
      <c r="F28" s="1680"/>
      <c r="G28" s="1680"/>
      <c r="H28" s="1680"/>
      <c r="I28" s="1680"/>
      <c r="J28" s="1680"/>
      <c r="K28" s="1680"/>
      <c r="L28" s="1680"/>
      <c r="M28" s="1680"/>
      <c r="N28" s="1680"/>
      <c r="O28" s="1680"/>
    </row>
    <row r="29" spans="1:15" ht="27" customHeight="1" x14ac:dyDescent="0.2">
      <c r="A29" s="1681" t="s">
        <v>248</v>
      </c>
      <c r="B29" s="1682"/>
      <c r="C29" s="1682"/>
      <c r="D29" s="1682"/>
      <c r="E29" s="1682"/>
      <c r="F29" s="1682"/>
      <c r="G29" s="1682"/>
      <c r="H29" s="1682"/>
      <c r="I29" s="1682"/>
      <c r="J29" s="1682"/>
      <c r="K29" s="1682"/>
    </row>
    <row r="30" spans="1:15" ht="14.25" x14ac:dyDescent="0.2">
      <c r="A30" s="59"/>
      <c r="B30" s="60"/>
      <c r="C30" s="60"/>
      <c r="D30" s="60"/>
      <c r="E30" s="60"/>
      <c r="F30" s="60"/>
      <c r="G30" s="60"/>
      <c r="H30" s="60"/>
      <c r="I30" s="60"/>
      <c r="J30" s="60"/>
      <c r="K30" s="60"/>
    </row>
    <row r="31" spans="1:15" ht="71.25" x14ac:dyDescent="0.2">
      <c r="A31" s="103" t="s">
        <v>64</v>
      </c>
      <c r="B31" s="62" t="s">
        <v>46</v>
      </c>
      <c r="C31" s="63"/>
      <c r="D31" s="114" t="s">
        <v>65</v>
      </c>
      <c r="E31" s="917" t="s">
        <v>46</v>
      </c>
      <c r="F31" s="63"/>
      <c r="G31" s="114" t="s">
        <v>66</v>
      </c>
      <c r="H31" s="62" t="s">
        <v>46</v>
      </c>
      <c r="I31" s="63"/>
      <c r="J31" s="63"/>
      <c r="K31" s="63"/>
    </row>
    <row r="32" spans="1:15" ht="15" customHeight="1" x14ac:dyDescent="0.2">
      <c r="A32" s="61"/>
      <c r="B32" s="105"/>
      <c r="C32" s="63"/>
      <c r="D32" s="64"/>
      <c r="E32" s="105"/>
      <c r="F32" s="63"/>
      <c r="G32" s="63"/>
      <c r="H32" s="105"/>
      <c r="I32" s="63"/>
      <c r="J32" s="63"/>
      <c r="K32" s="63"/>
    </row>
    <row r="33" spans="1:28" ht="33" customHeight="1" x14ac:dyDescent="0.2">
      <c r="A33" s="1704"/>
      <c r="B33" s="1704"/>
      <c r="C33" s="1704"/>
      <c r="D33" s="1704"/>
      <c r="E33" s="1704"/>
      <c r="F33" s="1704"/>
      <c r="G33" s="1704"/>
      <c r="H33" s="1704"/>
      <c r="I33" s="1704"/>
      <c r="J33" s="1704"/>
      <c r="K33" s="1704"/>
      <c r="L33" s="1704"/>
      <c r="M33" s="1704"/>
      <c r="N33" s="1704"/>
      <c r="O33" s="1704"/>
    </row>
    <row r="34" spans="1:28" ht="53.25" customHeight="1" x14ac:dyDescent="0.2">
      <c r="A34" s="1704"/>
      <c r="B34" s="1704"/>
      <c r="C34" s="1704"/>
      <c r="D34" s="1704"/>
      <c r="E34" s="1704"/>
      <c r="F34" s="1704"/>
      <c r="G34" s="1704"/>
      <c r="H34" s="1704"/>
      <c r="I34" s="1704"/>
      <c r="J34" s="1704"/>
      <c r="K34" s="1704"/>
      <c r="L34" s="1704"/>
      <c r="M34" s="1704"/>
      <c r="N34" s="1704"/>
      <c r="O34" s="1704"/>
    </row>
    <row r="35" spans="1:28" hidden="1" x14ac:dyDescent="0.2">
      <c r="A35" s="1704"/>
      <c r="B35" s="1704"/>
      <c r="C35" s="1704"/>
      <c r="D35" s="1704"/>
      <c r="E35" s="1704"/>
      <c r="F35" s="1704"/>
      <c r="G35" s="1704"/>
      <c r="H35" s="1704"/>
      <c r="I35" s="1704"/>
      <c r="J35" s="1704"/>
      <c r="K35" s="1704"/>
      <c r="L35" s="1704"/>
      <c r="M35" s="1704"/>
      <c r="N35" s="1704"/>
      <c r="O35" s="1704"/>
    </row>
    <row r="36" spans="1:28" ht="72" customHeight="1" x14ac:dyDescent="0.2">
      <c r="A36" s="1704"/>
      <c r="B36" s="1704"/>
      <c r="C36" s="1704"/>
      <c r="D36" s="1704"/>
      <c r="E36" s="1704"/>
      <c r="F36" s="1704"/>
      <c r="G36" s="1704"/>
      <c r="H36" s="1704"/>
      <c r="I36" s="1704"/>
      <c r="J36" s="1704"/>
      <c r="K36" s="1704"/>
      <c r="L36" s="1704"/>
      <c r="M36" s="1704"/>
      <c r="N36" s="1704"/>
      <c r="O36" s="1704"/>
    </row>
    <row r="37" spans="1:28" x14ac:dyDescent="0.2">
      <c r="A37" s="1704"/>
      <c r="B37" s="1704"/>
      <c r="C37" s="1704"/>
      <c r="D37" s="1704"/>
      <c r="E37" s="1704"/>
      <c r="F37" s="1704"/>
      <c r="G37" s="1704"/>
      <c r="H37" s="1704"/>
      <c r="I37" s="1704"/>
      <c r="J37" s="1704"/>
      <c r="K37" s="1704"/>
      <c r="L37" s="1704"/>
      <c r="M37" s="1704"/>
      <c r="N37" s="1704"/>
      <c r="O37" s="1704"/>
    </row>
    <row r="38" spans="1:28" ht="21" customHeight="1" x14ac:dyDescent="0.2">
      <c r="A38" s="1704"/>
      <c r="B38" s="1704"/>
      <c r="C38" s="1704"/>
      <c r="D38" s="1704"/>
      <c r="E38" s="1704"/>
      <c r="F38" s="1704"/>
      <c r="G38" s="1704"/>
      <c r="H38" s="1704"/>
      <c r="I38" s="1704"/>
      <c r="J38" s="1704"/>
      <c r="K38" s="1704"/>
      <c r="L38" s="1704"/>
      <c r="M38" s="1704"/>
      <c r="N38" s="1704"/>
      <c r="O38" s="1704"/>
    </row>
    <row r="39" spans="1:28" ht="21" customHeight="1" x14ac:dyDescent="0.2">
      <c r="A39" s="68"/>
    </row>
    <row r="40" spans="1:28" ht="33" customHeight="1" x14ac:dyDescent="0.25">
      <c r="A40" s="1706" t="s">
        <v>249</v>
      </c>
      <c r="B40" s="1707"/>
      <c r="C40" s="1707"/>
      <c r="D40" s="1707"/>
      <c r="E40" s="1707"/>
      <c r="F40" s="1707"/>
      <c r="G40" s="1707"/>
      <c r="H40" s="1707"/>
      <c r="I40" s="1707"/>
      <c r="J40" s="1707"/>
      <c r="K40" s="1707"/>
      <c r="L40" s="1707"/>
      <c r="M40" s="1707"/>
      <c r="N40" s="1707"/>
      <c r="O40" s="1708"/>
    </row>
    <row r="41" spans="1:28" ht="21" customHeight="1" x14ac:dyDescent="0.2">
      <c r="A41" s="1704"/>
      <c r="B41" s="1704"/>
      <c r="C41" s="1704"/>
      <c r="D41" s="1704"/>
      <c r="E41" s="1704"/>
      <c r="F41" s="1704"/>
      <c r="G41" s="1704"/>
      <c r="H41" s="1704"/>
      <c r="I41" s="1704"/>
      <c r="J41" s="1704"/>
      <c r="K41" s="1704"/>
      <c r="L41" s="1705"/>
      <c r="M41" s="1705"/>
      <c r="N41" s="1705"/>
      <c r="O41" s="1705"/>
    </row>
    <row r="42" spans="1:28" ht="21" customHeight="1" x14ac:dyDescent="0.2">
      <c r="A42" s="1704"/>
      <c r="B42" s="1704"/>
      <c r="C42" s="1704"/>
      <c r="D42" s="1704"/>
      <c r="E42" s="1704"/>
      <c r="F42" s="1704"/>
      <c r="G42" s="1704"/>
      <c r="H42" s="1704"/>
      <c r="I42" s="1704"/>
      <c r="J42" s="1704"/>
      <c r="K42" s="1704"/>
      <c r="L42" s="1705"/>
      <c r="M42" s="1705"/>
      <c r="N42" s="1705"/>
      <c r="O42" s="1705"/>
    </row>
    <row r="43" spans="1:28" ht="21" customHeight="1" x14ac:dyDescent="0.2">
      <c r="A43" s="1704"/>
      <c r="B43" s="1704"/>
      <c r="C43" s="1704"/>
      <c r="D43" s="1704"/>
      <c r="E43" s="1704"/>
      <c r="F43" s="1704"/>
      <c r="G43" s="1704"/>
      <c r="H43" s="1704"/>
      <c r="I43" s="1704"/>
      <c r="J43" s="1704"/>
      <c r="K43" s="1704"/>
      <c r="L43" s="1705"/>
      <c r="M43" s="1705"/>
      <c r="N43" s="1705"/>
      <c r="O43" s="1705"/>
    </row>
    <row r="44" spans="1:28" x14ac:dyDescent="0.2">
      <c r="A44" s="1704"/>
      <c r="B44" s="1704"/>
      <c r="C44" s="1704"/>
      <c r="D44" s="1704"/>
      <c r="E44" s="1704"/>
      <c r="F44" s="1704"/>
      <c r="G44" s="1704"/>
      <c r="H44" s="1704"/>
      <c r="I44" s="1704"/>
      <c r="J44" s="1704"/>
      <c r="K44" s="1704"/>
      <c r="L44" s="1705"/>
      <c r="M44" s="1705"/>
      <c r="N44" s="1705"/>
      <c r="O44" s="1705"/>
    </row>
    <row r="45" spans="1:28" ht="24" customHeight="1" x14ac:dyDescent="0.2">
      <c r="A45" s="1704"/>
      <c r="B45" s="1704"/>
      <c r="C45" s="1704"/>
      <c r="D45" s="1704"/>
      <c r="E45" s="1704"/>
      <c r="F45" s="1704"/>
      <c r="G45" s="1704"/>
      <c r="H45" s="1704"/>
      <c r="I45" s="1704"/>
      <c r="J45" s="1704"/>
      <c r="K45" s="1704"/>
      <c r="L45" s="1705"/>
      <c r="M45" s="1705"/>
      <c r="N45" s="1705"/>
      <c r="O45" s="1705"/>
      <c r="P45" s="65"/>
      <c r="Q45" s="65"/>
      <c r="R45" s="65"/>
      <c r="S45" s="65"/>
      <c r="T45" s="65"/>
      <c r="U45" s="65"/>
      <c r="V45" s="65"/>
      <c r="W45" s="65"/>
      <c r="X45" s="65"/>
      <c r="Y45" s="65"/>
      <c r="Z45" s="30"/>
      <c r="AA45" s="30"/>
      <c r="AB45" s="30"/>
    </row>
    <row r="46" spans="1:28" ht="21.75" customHeight="1" x14ac:dyDescent="0.2">
      <c r="A46" s="1704"/>
      <c r="B46" s="1704"/>
      <c r="C46" s="1704"/>
      <c r="D46" s="1704"/>
      <c r="E46" s="1704"/>
      <c r="F46" s="1704"/>
      <c r="G46" s="1704"/>
      <c r="H46" s="1704"/>
      <c r="I46" s="1704"/>
      <c r="J46" s="1704"/>
      <c r="K46" s="1704"/>
      <c r="L46" s="1705"/>
      <c r="M46" s="1705"/>
      <c r="N46" s="1705"/>
      <c r="O46" s="1705"/>
    </row>
    <row r="47" spans="1:28" ht="21.75" customHeight="1" x14ac:dyDescent="0.2">
      <c r="A47" s="50"/>
      <c r="B47" s="50"/>
      <c r="C47" s="50"/>
      <c r="D47" s="50"/>
      <c r="E47" s="50"/>
      <c r="F47" s="50"/>
      <c r="G47" s="50"/>
      <c r="H47" s="50"/>
      <c r="I47" s="50"/>
      <c r="J47" s="50"/>
      <c r="K47" s="50"/>
      <c r="L47" s="65"/>
      <c r="M47" s="65"/>
      <c r="N47" s="65"/>
    </row>
    <row r="48" spans="1:28" ht="21.75" customHeight="1" x14ac:dyDescent="0.2">
      <c r="A48" s="66"/>
      <c r="B48" s="66"/>
      <c r="C48" s="66"/>
      <c r="D48" s="66"/>
      <c r="E48" s="66"/>
      <c r="F48" s="66"/>
      <c r="G48" s="66"/>
      <c r="H48" s="66"/>
      <c r="I48" s="66"/>
      <c r="J48" s="66"/>
      <c r="K48" s="67"/>
    </row>
    <row r="49" spans="1:24" ht="30.75" customHeight="1" x14ac:dyDescent="0.2">
      <c r="A49" s="93" t="s">
        <v>56</v>
      </c>
      <c r="B49" s="93"/>
      <c r="C49" s="93"/>
      <c r="D49" s="93"/>
      <c r="E49" s="93"/>
      <c r="F49" s="93"/>
      <c r="G49" s="93"/>
      <c r="H49" s="93"/>
      <c r="I49" s="93"/>
      <c r="J49" s="93"/>
      <c r="K49" s="93"/>
      <c r="L49" s="93"/>
      <c r="M49" s="93"/>
      <c r="N49" s="93"/>
      <c r="O49" s="93"/>
    </row>
    <row r="50" spans="1:24" ht="21.75" customHeight="1" x14ac:dyDescent="0.2">
      <c r="A50" s="1704"/>
      <c r="B50" s="1704"/>
      <c r="C50" s="1704"/>
      <c r="D50" s="1704"/>
      <c r="E50" s="1704"/>
      <c r="F50" s="1704"/>
      <c r="G50" s="1704"/>
      <c r="H50" s="1704"/>
      <c r="I50" s="1704"/>
      <c r="J50" s="1704"/>
      <c r="K50" s="1704"/>
      <c r="L50" s="1709"/>
      <c r="M50" s="1709"/>
      <c r="N50" s="1709"/>
      <c r="O50" s="1709"/>
    </row>
    <row r="51" spans="1:24" ht="21.75" customHeight="1" x14ac:dyDescent="0.2">
      <c r="A51" s="1704"/>
      <c r="B51" s="1704"/>
      <c r="C51" s="1704"/>
      <c r="D51" s="1704"/>
      <c r="E51" s="1704"/>
      <c r="F51" s="1704"/>
      <c r="G51" s="1704"/>
      <c r="H51" s="1704"/>
      <c r="I51" s="1704"/>
      <c r="J51" s="1704"/>
      <c r="K51" s="1704"/>
      <c r="L51" s="1709"/>
      <c r="M51" s="1709"/>
      <c r="N51" s="1709"/>
      <c r="O51" s="1709"/>
    </row>
    <row r="52" spans="1:24" x14ac:dyDescent="0.2">
      <c r="A52" s="1704"/>
      <c r="B52" s="1704"/>
      <c r="C52" s="1704"/>
      <c r="D52" s="1704"/>
      <c r="E52" s="1704"/>
      <c r="F52" s="1704"/>
      <c r="G52" s="1704"/>
      <c r="H52" s="1704"/>
      <c r="I52" s="1704"/>
      <c r="J52" s="1704"/>
      <c r="K52" s="1704"/>
      <c r="L52" s="1709"/>
      <c r="M52" s="1709"/>
      <c r="N52" s="1709"/>
      <c r="O52" s="1709"/>
    </row>
    <row r="53" spans="1:24" x14ac:dyDescent="0.2">
      <c r="A53" s="1704"/>
      <c r="B53" s="1704"/>
      <c r="C53" s="1704"/>
      <c r="D53" s="1704"/>
      <c r="E53" s="1704"/>
      <c r="F53" s="1704"/>
      <c r="G53" s="1704"/>
      <c r="H53" s="1704"/>
      <c r="I53" s="1704"/>
      <c r="J53" s="1704"/>
      <c r="K53" s="1704"/>
      <c r="L53" s="1709"/>
      <c r="M53" s="1709"/>
      <c r="N53" s="1709"/>
      <c r="O53" s="1709"/>
    </row>
    <row r="54" spans="1:24" s="70" customFormat="1" ht="22.5" customHeight="1" x14ac:dyDescent="0.25">
      <c r="A54" s="1704"/>
      <c r="B54" s="1704"/>
      <c r="C54" s="1704"/>
      <c r="D54" s="1704"/>
      <c r="E54" s="1704"/>
      <c r="F54" s="1704"/>
      <c r="G54" s="1704"/>
      <c r="H54" s="1704"/>
      <c r="I54" s="1704"/>
      <c r="J54" s="1704"/>
      <c r="K54" s="1704"/>
      <c r="L54" s="1709"/>
      <c r="M54" s="1709"/>
      <c r="N54" s="1709"/>
      <c r="O54" s="1709"/>
    </row>
    <row r="55" spans="1:24" ht="23.25" customHeight="1" x14ac:dyDescent="0.2">
      <c r="A55" s="1704"/>
      <c r="B55" s="1704"/>
      <c r="C55" s="1704"/>
      <c r="D55" s="1704"/>
      <c r="E55" s="1704"/>
      <c r="F55" s="1704"/>
      <c r="G55" s="1704"/>
      <c r="H55" s="1704"/>
      <c r="I55" s="1704"/>
      <c r="J55" s="1704"/>
      <c r="K55" s="1704"/>
      <c r="L55" s="1709"/>
      <c r="M55" s="1709"/>
      <c r="N55" s="1709"/>
      <c r="O55" s="1709"/>
      <c r="X55" s="20"/>
    </row>
    <row r="56" spans="1:24" ht="23.25" customHeight="1" x14ac:dyDescent="0.2">
      <c r="A56" s="68"/>
      <c r="B56" s="68"/>
      <c r="C56" s="68"/>
      <c r="D56" s="68"/>
      <c r="E56" s="68"/>
      <c r="F56" s="68"/>
      <c r="G56" s="68"/>
      <c r="H56" s="68"/>
      <c r="I56" s="68"/>
      <c r="J56" s="68"/>
      <c r="K56" s="69"/>
      <c r="X56" s="20"/>
    </row>
    <row r="57" spans="1:24" ht="23.25" customHeight="1" x14ac:dyDescent="0.2">
      <c r="A57" s="1703"/>
      <c r="B57" s="1703"/>
      <c r="C57" s="1703"/>
      <c r="D57" s="1703"/>
      <c r="E57" s="1703"/>
      <c r="F57" s="1703"/>
      <c r="G57" s="1703"/>
      <c r="H57" s="1703"/>
      <c r="I57" s="1703"/>
      <c r="J57" s="1703"/>
      <c r="K57" s="1703"/>
      <c r="X57" s="20"/>
    </row>
    <row r="58" spans="1:24" ht="23.25" customHeight="1" x14ac:dyDescent="0.2">
      <c r="X58" s="20"/>
    </row>
    <row r="59" spans="1:24" ht="23.25" customHeight="1" x14ac:dyDescent="0.2">
      <c r="X59" s="20"/>
    </row>
    <row r="60" spans="1:24" ht="23.25" customHeight="1" x14ac:dyDescent="0.2"/>
    <row r="71" spans="1:3" x14ac:dyDescent="0.2">
      <c r="A71" s="533"/>
      <c r="B71" s="533"/>
      <c r="C71" s="533"/>
    </row>
    <row r="72" spans="1:3" x14ac:dyDescent="0.2">
      <c r="A72" s="533"/>
      <c r="B72" s="533"/>
      <c r="C72" s="533"/>
    </row>
    <row r="73" spans="1:3" hidden="1" x14ac:dyDescent="0.2">
      <c r="A73" s="533" t="s">
        <v>356</v>
      </c>
      <c r="B73" s="533" t="s">
        <v>969</v>
      </c>
      <c r="C73" s="533"/>
    </row>
    <row r="74" spans="1:3" hidden="1" x14ac:dyDescent="0.2">
      <c r="A74" s="533" t="s">
        <v>392</v>
      </c>
      <c r="B74" s="1174" t="str">
        <f>IF(B31="Select","",B31)</f>
        <v/>
      </c>
      <c r="C74" s="533"/>
    </row>
    <row r="75" spans="1:3" hidden="1" x14ac:dyDescent="0.2">
      <c r="A75" s="533" t="s">
        <v>393</v>
      </c>
      <c r="B75" s="1174" t="str">
        <f>IF(E31="Select","",E31)</f>
        <v/>
      </c>
      <c r="C75" s="533"/>
    </row>
    <row r="76" spans="1:3" hidden="1" x14ac:dyDescent="0.2">
      <c r="A76" s="533" t="s">
        <v>394</v>
      </c>
      <c r="B76" s="1174" t="str">
        <f>IF(H31="Select","",H31)</f>
        <v/>
      </c>
      <c r="C76" s="533"/>
    </row>
    <row r="77" spans="1:3" x14ac:dyDescent="0.2">
      <c r="A77" s="533"/>
      <c r="B77" s="533"/>
      <c r="C77" s="533"/>
    </row>
    <row r="78" spans="1:3" x14ac:dyDescent="0.2">
      <c r="A78" s="533"/>
      <c r="B78" s="533"/>
      <c r="C78" s="533"/>
    </row>
    <row r="79" spans="1:3" x14ac:dyDescent="0.2">
      <c r="A79" s="533"/>
      <c r="B79" s="533"/>
      <c r="C79" s="533"/>
    </row>
    <row r="80" spans="1:3" x14ac:dyDescent="0.2">
      <c r="A80" s="533"/>
      <c r="B80" s="533"/>
      <c r="C80" s="533"/>
    </row>
  </sheetData>
  <sheetProtection algorithmName="SHA-512" hashValue="kuOfLYU70vg5G/oqZe9y5HDvAGeAtvF/VDnePoMyzciIevec1R864Jxi6gOeuYSep54CgHTfJobdXYJvSxDzuQ==" saltValue="cFh2W2IwXAdexJFk6Eu+fQ==" spinCount="100000" sheet="1" objects="1" scenarios="1" formatColumns="0" formatRows="0" sort="0" autoFilter="0"/>
  <mergeCells count="15">
    <mergeCell ref="A57:K57"/>
    <mergeCell ref="A41:O46"/>
    <mergeCell ref="A40:O40"/>
    <mergeCell ref="A50:O55"/>
    <mergeCell ref="A33:O38"/>
    <mergeCell ref="A28:O28"/>
    <mergeCell ref="A29:K29"/>
    <mergeCell ref="A19:O19"/>
    <mergeCell ref="A6:O10"/>
    <mergeCell ref="A1:P1"/>
    <mergeCell ref="A13:O17"/>
    <mergeCell ref="A20:O24"/>
    <mergeCell ref="A5:K5"/>
    <mergeCell ref="A12:O12"/>
    <mergeCell ref="A4:O4"/>
  </mergeCells>
  <phoneticPr fontId="19" type="noConversion"/>
  <dataValidations count="6">
    <dataValidation type="list" allowBlank="1" showInputMessage="1" showErrorMessage="1" sqref="B31:B32 H31:H32">
      <formula1>"Select, A1, A2, B1, B2, C"</formula1>
    </dataValidation>
    <dataValidation type="list" allowBlank="1" showInputMessage="1" showErrorMessage="1" sqref="E31:E32">
      <formula1>"Select, Yes, No"</formula1>
    </dataValidation>
    <dataValidation type="custom" allowBlank="1" showInputMessage="1" showErrorMessage="1" errorTitle="X-Author for Excel" error="Id and Lookup fields are not editable." promptTitle="X-Author for Excel" sqref="B73">
      <formula1>""</formula1>
    </dataValidation>
    <dataValidation type="list" allowBlank="1" showInputMessage="1" showErrorMessage="1" errorTitle="X-Author for Excel" error="Please select a value from the drop-down." promptTitle="X-Author for Excel" sqref="B75">
      <formula1>IF(IFERROR(ROWS(INDIRECT(SUBSTITUTE("AIM_Performance__c.AIM_Major_Issues_Identified_LFA__c"," ","_"))),-1) &lt; 0, XAuthorInvalidPicklistData,INDIRECT(SUBSTITUTE("AIM_Performance__c.AIM_Major_Issues_Identified_LFA__c"," ","_")))</formula1>
    </dataValidation>
    <dataValidation type="list" allowBlank="1" showInputMessage="1" showErrorMessage="1" errorTitle="X-Author for Excel" error="Please select a value from the drop-down." promptTitle="X-Author for Excel" sqref="B76">
      <formula1>IF(IFERROR(ROWS(INDIRECT(SUBSTITUTE("AIM_Performance__c.AIM_Overall_Rating_LFA__c"," ","_"))),-1) &lt; 0, XAuthorInvalidPicklistData,INDIRECT(SUBSTITUTE("AIM_Performance__c.AIM_Overall_Rating_LFA__c"," ","_")))</formula1>
    </dataValidation>
    <dataValidation type="list" allowBlank="1" showInputMessage="1" showErrorMessage="1" errorTitle="X-Author for Excel" error="Please select a value from the drop-down." promptTitle="X-Author for Excel" sqref="B74">
      <formula1>IF(IFERROR(ROWS(INDIRECT(SUBSTITUTE("AIM_Performance__c.AIM_Quantitative_Indicator_LFA__c"," ","_"))),-1) &lt; 0, XAuthorInvalidPicklistData,INDIRECT(SUBSTITUTE("AIM_Performance__c.AIM_Quantitative_Indicator_LFA__c"," ","_")))</formula1>
    </dataValidation>
  </dataValidations>
  <printOptions horizontalCentered="1" verticalCentered="1"/>
  <pageMargins left="0.23622047244094491" right="0.23622047244094491" top="0.74803149606299213" bottom="0.74803149606299213" header="0.31496062992125984" footer="0.31496062992125984"/>
  <pageSetup paperSize="9" scale="62" fitToHeight="0" orientation="landscape" cellComments="asDisplayed" r:id="rId1"/>
  <headerFooter>
    <oddFooter>&amp;L&amp;9&amp;A&amp;R&amp;9&amp;P</oddFooter>
  </headerFooter>
  <rowBreaks count="1" manualBreakCount="1">
    <brk id="25" max="14"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tabColor theme="5" tint="0.59999389629810485"/>
  </sheetPr>
  <dimension ref="A1:N54"/>
  <sheetViews>
    <sheetView view="pageBreakPreview" topLeftCell="A7" zoomScale="60" zoomScaleNormal="90" zoomScalePageLayoutView="55" workbookViewId="0">
      <selection activeCell="A9" sqref="A9"/>
    </sheetView>
  </sheetViews>
  <sheetFormatPr defaultColWidth="9.140625" defaultRowHeight="12.75" x14ac:dyDescent="0.2"/>
  <cols>
    <col min="1" max="1" width="44.85546875" style="20" customWidth="1"/>
    <col min="2" max="2" width="65" style="20" customWidth="1"/>
    <col min="3" max="3" width="79.85546875" style="20" customWidth="1"/>
    <col min="4" max="4" width="20.140625" style="84" hidden="1" customWidth="1"/>
    <col min="5" max="5" width="7.85546875" style="549" hidden="1" customWidth="1"/>
    <col min="6" max="6" width="9.85546875" style="512" hidden="1" customWidth="1"/>
    <col min="7" max="7" width="11.42578125" style="512" hidden="1" customWidth="1"/>
    <col min="8" max="8" width="20.5703125" style="512" hidden="1" customWidth="1"/>
    <col min="9" max="9" width="0.140625" style="549" customWidth="1"/>
    <col min="10" max="14" width="9.140625" style="549"/>
    <col min="15" max="16384" width="9.140625" style="20"/>
  </cols>
  <sheetData>
    <row r="1" spans="1:14" s="108" customFormat="1" ht="42" customHeight="1" x14ac:dyDescent="0.4">
      <c r="A1" s="1710" t="str">
        <f>IF(CoverSheet!J12="N/A","Progress Report","Progress Report with Disbursement Request")</f>
        <v>Progress Report with Disbursement Request</v>
      </c>
      <c r="B1" s="1710"/>
      <c r="C1" s="1710"/>
      <c r="D1" s="1710"/>
      <c r="E1" s="549"/>
      <c r="F1" s="550"/>
      <c r="G1" s="550"/>
      <c r="H1" s="550"/>
      <c r="I1" s="548"/>
      <c r="J1" s="548"/>
      <c r="K1" s="548"/>
      <c r="L1" s="548"/>
      <c r="M1" s="548"/>
      <c r="N1" s="548"/>
    </row>
    <row r="2" spans="1:14" x14ac:dyDescent="0.2">
      <c r="A2" s="2"/>
      <c r="B2" s="2"/>
      <c r="C2" s="2"/>
      <c r="D2" s="53"/>
    </row>
    <row r="3" spans="1:14" ht="37.5" customHeight="1" x14ac:dyDescent="0.2">
      <c r="A3" s="85" t="s">
        <v>102</v>
      </c>
      <c r="B3" s="72"/>
      <c r="C3" s="73"/>
      <c r="D3" s="75"/>
    </row>
    <row r="4" spans="1:14" ht="45" customHeight="1" x14ac:dyDescent="0.2">
      <c r="A4" s="76" t="s">
        <v>108</v>
      </c>
      <c r="B4" s="77"/>
      <c r="C4" s="78"/>
      <c r="D4" s="79"/>
    </row>
    <row r="5" spans="1:14" ht="1.5" customHeight="1" x14ac:dyDescent="0.25">
      <c r="A5" s="80"/>
      <c r="B5" s="80"/>
      <c r="C5" s="81"/>
      <c r="D5" s="82"/>
      <c r="F5" s="551"/>
      <c r="G5" s="551"/>
      <c r="H5" s="551"/>
    </row>
    <row r="6" spans="1:14" ht="69" customHeight="1" x14ac:dyDescent="0.2">
      <c r="A6" s="1711" t="s">
        <v>107</v>
      </c>
      <c r="B6" s="1712"/>
      <c r="C6" s="1712"/>
      <c r="D6" s="1712"/>
    </row>
    <row r="7" spans="1:14" ht="9.6" customHeight="1" x14ac:dyDescent="0.2">
      <c r="A7" s="74"/>
      <c r="B7" s="74"/>
      <c r="C7" s="74"/>
      <c r="D7" s="83"/>
    </row>
    <row r="8" spans="1:14" ht="0.6" customHeight="1" x14ac:dyDescent="0.2">
      <c r="A8" s="546"/>
      <c r="B8" s="546"/>
      <c r="C8" s="546"/>
      <c r="D8" s="626"/>
      <c r="E8" s="555"/>
      <c r="F8" s="547"/>
      <c r="G8" s="547"/>
      <c r="H8" s="547"/>
      <c r="I8" s="552"/>
    </row>
    <row r="9" spans="1:14" ht="58.35" customHeight="1" x14ac:dyDescent="0.2">
      <c r="A9" s="825" t="s">
        <v>379</v>
      </c>
      <c r="B9" s="825" t="s">
        <v>384</v>
      </c>
      <c r="C9" s="825" t="s">
        <v>385</v>
      </c>
      <c r="D9" s="634" t="s">
        <v>211</v>
      </c>
      <c r="E9" s="635" t="s">
        <v>553</v>
      </c>
      <c r="F9" s="635" t="s">
        <v>380</v>
      </c>
      <c r="G9" s="635" t="s">
        <v>378</v>
      </c>
      <c r="H9" s="635" t="s">
        <v>356</v>
      </c>
      <c r="I9" s="554"/>
    </row>
    <row r="10" spans="1:14" ht="15" hidden="1" x14ac:dyDescent="0.2">
      <c r="A10" s="1185" t="s">
        <v>46</v>
      </c>
      <c r="B10" s="1197" t="s">
        <v>376</v>
      </c>
      <c r="C10" s="1197" t="s">
        <v>377</v>
      </c>
      <c r="D10" s="638"/>
      <c r="E10" s="637" t="str">
        <f>IF(OR(A10&lt;&gt;"",B10&lt;&gt;"",C10&lt;&gt;""),'Admin Sheet'!$B$44,"")</f>
        <v>a1Y36000002VIbtEAG</v>
      </c>
      <c r="F10" s="637" t="str">
        <f>IF(OR(A10&lt;&gt;"",B10&lt;&gt;"",C10&lt;&gt;""),'Admin Sheet'!$B$37,"")</f>
        <v>01236000000OMQ7AAO</v>
      </c>
      <c r="G10" s="637" t="str">
        <f>IF(OR(A10&lt;&gt;"",B10&lt;&gt;"",C10&lt;&gt;""),'Admin Sheet'!$B$41,"")</f>
        <v>a1K36000001WhFXEA0</v>
      </c>
      <c r="H10" s="637" t="s">
        <v>355</v>
      </c>
      <c r="I10" s="639"/>
    </row>
    <row r="11" spans="1:14" ht="15" x14ac:dyDescent="0.2">
      <c r="A11" s="1185"/>
      <c r="B11" s="1197"/>
      <c r="C11" s="1197"/>
      <c r="D11" s="638"/>
      <c r="E11" s="637" t="str">
        <f>IF(OR(A11&lt;&gt;"",B11&lt;&gt;"",C11&lt;&gt;""),'Admin Sheet'!$B$44,"")</f>
        <v/>
      </c>
      <c r="F11" s="637" t="str">
        <f>IF(OR(A11&lt;&gt;"",B11&lt;&gt;"",C11&lt;&gt;""),'Admin Sheet'!$B$37,"")</f>
        <v/>
      </c>
      <c r="G11" s="637" t="str">
        <f>IF(OR(A11&lt;&gt;"",B11&lt;&gt;"",C11&lt;&gt;""),'Admin Sheet'!$B$41,"")</f>
        <v/>
      </c>
      <c r="H11" s="635"/>
      <c r="I11" s="639"/>
    </row>
    <row r="12" spans="1:14" ht="15" x14ac:dyDescent="0.2">
      <c r="A12" s="1185"/>
      <c r="B12" s="1197"/>
      <c r="C12" s="1197"/>
      <c r="D12" s="638"/>
      <c r="E12" s="637" t="str">
        <f>IF(OR(A12&lt;&gt;"",B12&lt;&gt;"",C12&lt;&gt;""),'Admin Sheet'!$B$44,"")</f>
        <v/>
      </c>
      <c r="F12" s="637" t="str">
        <f>IF(OR(A12&lt;&gt;"",B12&lt;&gt;"",C12&lt;&gt;""),'Admin Sheet'!$B$37,"")</f>
        <v/>
      </c>
      <c r="G12" s="637" t="str">
        <f>IF(OR(A12&lt;&gt;"",B12&lt;&gt;"",C12&lt;&gt;""),'Admin Sheet'!$B$41,"")</f>
        <v/>
      </c>
      <c r="H12" s="635"/>
      <c r="I12" s="639"/>
    </row>
    <row r="13" spans="1:14" ht="15" x14ac:dyDescent="0.2">
      <c r="A13" s="1185"/>
      <c r="B13" s="1197"/>
      <c r="C13" s="1197"/>
      <c r="D13" s="638"/>
      <c r="E13" s="637" t="str">
        <f>IF(OR(A13&lt;&gt;"",B13&lt;&gt;"",C13&lt;&gt;""),'Admin Sheet'!$B$44,"")</f>
        <v/>
      </c>
      <c r="F13" s="637" t="str">
        <f>IF(OR(A13&lt;&gt;"",B13&lt;&gt;"",C13&lt;&gt;""),'Admin Sheet'!$B$37,"")</f>
        <v/>
      </c>
      <c r="G13" s="637" t="str">
        <f>IF(OR(A13&lt;&gt;"",B13&lt;&gt;"",C13&lt;&gt;""),'Admin Sheet'!$B$41,"")</f>
        <v/>
      </c>
      <c r="H13" s="635"/>
      <c r="I13" s="639"/>
    </row>
    <row r="14" spans="1:14" ht="15" x14ac:dyDescent="0.2">
      <c r="A14" s="1185"/>
      <c r="B14" s="1197"/>
      <c r="C14" s="1197"/>
      <c r="D14" s="638"/>
      <c r="E14" s="637" t="str">
        <f>IF(OR(A14&lt;&gt;"",B14&lt;&gt;"",C14&lt;&gt;""),'Admin Sheet'!$B$44,"")</f>
        <v/>
      </c>
      <c r="F14" s="637" t="str">
        <f>IF(OR(A14&lt;&gt;"",B14&lt;&gt;"",C14&lt;&gt;""),'Admin Sheet'!$B$37,"")</f>
        <v/>
      </c>
      <c r="G14" s="637" t="str">
        <f>IF(OR(A14&lt;&gt;"",B14&lt;&gt;"",C14&lt;&gt;""),'Admin Sheet'!$B$41,"")</f>
        <v/>
      </c>
      <c r="H14" s="635"/>
      <c r="I14" s="639"/>
    </row>
    <row r="15" spans="1:14" ht="15" x14ac:dyDescent="0.2">
      <c r="A15" s="1185"/>
      <c r="B15" s="1197"/>
      <c r="C15" s="1197"/>
      <c r="D15" s="638"/>
      <c r="E15" s="637" t="str">
        <f>IF(OR(A15&lt;&gt;"",B15&lt;&gt;"",C15&lt;&gt;""),'Admin Sheet'!$B$44,"")</f>
        <v/>
      </c>
      <c r="F15" s="637" t="str">
        <f>IF(OR(A15&lt;&gt;"",B15&lt;&gt;"",C15&lt;&gt;""),'Admin Sheet'!$B$37,"")</f>
        <v/>
      </c>
      <c r="G15" s="637" t="str">
        <f>IF(OR(A15&lt;&gt;"",B15&lt;&gt;"",C15&lt;&gt;""),'Admin Sheet'!$B$41,"")</f>
        <v/>
      </c>
      <c r="H15" s="635"/>
      <c r="I15" s="639"/>
    </row>
    <row r="16" spans="1:14" ht="15" x14ac:dyDescent="0.2">
      <c r="A16" s="1185"/>
      <c r="B16" s="1197"/>
      <c r="C16" s="1197"/>
      <c r="D16" s="638"/>
      <c r="E16" s="637" t="str">
        <f>IF(OR(A16&lt;&gt;"",B16&lt;&gt;"",C16&lt;&gt;""),'Admin Sheet'!$B$44,"")</f>
        <v/>
      </c>
      <c r="F16" s="637" t="str">
        <f>IF(OR(A16&lt;&gt;"",B16&lt;&gt;"",C16&lt;&gt;""),'Admin Sheet'!$B$37,"")</f>
        <v/>
      </c>
      <c r="G16" s="637" t="str">
        <f>IF(OR(A16&lt;&gt;"",B16&lt;&gt;"",C16&lt;&gt;""),'Admin Sheet'!$B$41,"")</f>
        <v/>
      </c>
      <c r="H16" s="635"/>
      <c r="I16" s="639"/>
    </row>
    <row r="17" spans="1:9" ht="15" x14ac:dyDescent="0.2">
      <c r="A17" s="1185"/>
      <c r="B17" s="1197"/>
      <c r="C17" s="1197"/>
      <c r="D17" s="638"/>
      <c r="E17" s="637" t="str">
        <f>IF(OR(A17&lt;&gt;"",B17&lt;&gt;"",C17&lt;&gt;""),'Admin Sheet'!$B$44,"")</f>
        <v/>
      </c>
      <c r="F17" s="637" t="str">
        <f>IF(OR(A17&lt;&gt;"",B17&lt;&gt;"",C17&lt;&gt;""),'Admin Sheet'!$B$37,"")</f>
        <v/>
      </c>
      <c r="G17" s="637" t="str">
        <f>IF(OR(A17&lt;&gt;"",B17&lt;&gt;"",C17&lt;&gt;""),'Admin Sheet'!$B$41,"")</f>
        <v/>
      </c>
      <c r="H17" s="635"/>
      <c r="I17" s="639"/>
    </row>
    <row r="18" spans="1:9" ht="15" x14ac:dyDescent="0.2">
      <c r="A18" s="1185"/>
      <c r="B18" s="1197"/>
      <c r="C18" s="1197"/>
      <c r="D18" s="638"/>
      <c r="E18" s="637" t="str">
        <f>IF(OR(A18&lt;&gt;"",B18&lt;&gt;"",C18&lt;&gt;""),'Admin Sheet'!$B$44,"")</f>
        <v/>
      </c>
      <c r="F18" s="637" t="str">
        <f>IF(OR(A18&lt;&gt;"",B18&lt;&gt;"",C18&lt;&gt;""),'Admin Sheet'!$B$37,"")</f>
        <v/>
      </c>
      <c r="G18" s="637" t="str">
        <f>IF(OR(A18&lt;&gt;"",B18&lt;&gt;"",C18&lt;&gt;""),'Admin Sheet'!$B$41,"")</f>
        <v/>
      </c>
      <c r="H18" s="635"/>
      <c r="I18" s="639"/>
    </row>
    <row r="19" spans="1:9" ht="15" x14ac:dyDescent="0.2">
      <c r="A19" s="1185"/>
      <c r="B19" s="1197"/>
      <c r="C19" s="1197"/>
      <c r="D19" s="638"/>
      <c r="E19" s="637" t="str">
        <f>IF(OR(A19&lt;&gt;"",B19&lt;&gt;"",C19&lt;&gt;""),'Admin Sheet'!$B$44,"")</f>
        <v/>
      </c>
      <c r="F19" s="637" t="str">
        <f>IF(OR(A19&lt;&gt;"",B19&lt;&gt;"",C19&lt;&gt;""),'Admin Sheet'!$B$37,"")</f>
        <v/>
      </c>
      <c r="G19" s="637" t="str">
        <f>IF(OR(A19&lt;&gt;"",B19&lt;&gt;"",C19&lt;&gt;""),'Admin Sheet'!$B$41,"")</f>
        <v/>
      </c>
      <c r="H19" s="635"/>
      <c r="I19" s="639"/>
    </row>
    <row r="20" spans="1:9" ht="15" x14ac:dyDescent="0.2">
      <c r="A20" s="1185"/>
      <c r="B20" s="1197"/>
      <c r="C20" s="1197"/>
      <c r="D20" s="638"/>
      <c r="E20" s="637" t="str">
        <f>IF(OR(A20&lt;&gt;"",B20&lt;&gt;"",C20&lt;&gt;""),'Admin Sheet'!$B$44,"")</f>
        <v/>
      </c>
      <c r="F20" s="637" t="str">
        <f>IF(OR(A20&lt;&gt;"",B20&lt;&gt;"",C20&lt;&gt;""),'Admin Sheet'!$B$37,"")</f>
        <v/>
      </c>
      <c r="G20" s="637" t="str">
        <f>IF(OR(A20&lt;&gt;"",B20&lt;&gt;"",C20&lt;&gt;""),'Admin Sheet'!$B$41,"")</f>
        <v/>
      </c>
      <c r="H20" s="635"/>
      <c r="I20" s="639"/>
    </row>
    <row r="21" spans="1:9" ht="15" x14ac:dyDescent="0.2">
      <c r="A21" s="1185"/>
      <c r="B21" s="1197"/>
      <c r="C21" s="1197"/>
      <c r="D21" s="638"/>
      <c r="E21" s="637" t="str">
        <f>IF(OR(A21&lt;&gt;"",B21&lt;&gt;"",C21&lt;&gt;""),'Admin Sheet'!$B$44,"")</f>
        <v/>
      </c>
      <c r="F21" s="637" t="str">
        <f>IF(OR(A21&lt;&gt;"",B21&lt;&gt;"",C21&lt;&gt;""),'Admin Sheet'!$B$37,"")</f>
        <v/>
      </c>
      <c r="G21" s="637" t="str">
        <f>IF(OR(A21&lt;&gt;"",B21&lt;&gt;"",C21&lt;&gt;""),'Admin Sheet'!$B$41,"")</f>
        <v/>
      </c>
      <c r="H21" s="635"/>
      <c r="I21" s="639"/>
    </row>
    <row r="22" spans="1:9" ht="15" x14ac:dyDescent="0.2">
      <c r="A22" s="1185"/>
      <c r="B22" s="1197"/>
      <c r="C22" s="1197"/>
      <c r="D22" s="638"/>
      <c r="E22" s="637" t="str">
        <f>IF(OR(A22&lt;&gt;"",B22&lt;&gt;"",C22&lt;&gt;""),'Admin Sheet'!$B$44,"")</f>
        <v/>
      </c>
      <c r="F22" s="637" t="str">
        <f>IF(OR(A22&lt;&gt;"",B22&lt;&gt;"",C22&lt;&gt;""),'Admin Sheet'!$B$37,"")</f>
        <v/>
      </c>
      <c r="G22" s="637" t="str">
        <f>IF(OR(A22&lt;&gt;"",B22&lt;&gt;"",C22&lt;&gt;""),'Admin Sheet'!$B$41,"")</f>
        <v/>
      </c>
      <c r="H22" s="635"/>
      <c r="I22" s="639"/>
    </row>
    <row r="23" spans="1:9" ht="15" x14ac:dyDescent="0.2">
      <c r="A23" s="1185"/>
      <c r="B23" s="1197"/>
      <c r="C23" s="1197"/>
      <c r="D23" s="638"/>
      <c r="E23" s="637" t="str">
        <f>IF(OR(A23&lt;&gt;"",B23&lt;&gt;"",C23&lt;&gt;""),'Admin Sheet'!$B$44,"")</f>
        <v/>
      </c>
      <c r="F23" s="637" t="str">
        <f>IF(OR(A23&lt;&gt;"",B23&lt;&gt;"",C23&lt;&gt;""),'Admin Sheet'!$B$37,"")</f>
        <v/>
      </c>
      <c r="G23" s="637" t="str">
        <f>IF(OR(A23&lt;&gt;"",B23&lt;&gt;"",C23&lt;&gt;""),'Admin Sheet'!$B$41,"")</f>
        <v/>
      </c>
      <c r="H23" s="635"/>
      <c r="I23" s="639"/>
    </row>
    <row r="24" spans="1:9" ht="15" x14ac:dyDescent="0.2">
      <c r="A24" s="1185"/>
      <c r="B24" s="1197"/>
      <c r="C24" s="1197"/>
      <c r="D24" s="638"/>
      <c r="E24" s="637" t="str">
        <f>IF(OR(A24&lt;&gt;"",B24&lt;&gt;"",C24&lt;&gt;""),'Admin Sheet'!$B$44,"")</f>
        <v/>
      </c>
      <c r="F24" s="637" t="str">
        <f>IF(OR(A24&lt;&gt;"",B24&lt;&gt;"",C24&lt;&gt;""),'Admin Sheet'!$B$37,"")</f>
        <v/>
      </c>
      <c r="G24" s="637" t="str">
        <f>IF(OR(A24&lt;&gt;"",B24&lt;&gt;"",C24&lt;&gt;""),'Admin Sheet'!$B$41,"")</f>
        <v/>
      </c>
      <c r="H24" s="635"/>
      <c r="I24" s="639"/>
    </row>
    <row r="25" spans="1:9" ht="15" x14ac:dyDescent="0.2">
      <c r="A25" s="1185"/>
      <c r="B25" s="1197"/>
      <c r="C25" s="1197"/>
      <c r="D25" s="638"/>
      <c r="E25" s="637" t="str">
        <f>IF(OR(A25&lt;&gt;"",B25&lt;&gt;"",C25&lt;&gt;""),'Admin Sheet'!$B$44,"")</f>
        <v/>
      </c>
      <c r="F25" s="637" t="str">
        <f>IF(OR(A25&lt;&gt;"",B25&lt;&gt;"",C25&lt;&gt;""),'Admin Sheet'!$B$37,"")</f>
        <v/>
      </c>
      <c r="G25" s="637" t="str">
        <f>IF(OR(A25&lt;&gt;"",B25&lt;&gt;"",C25&lt;&gt;""),'Admin Sheet'!$B$41,"")</f>
        <v/>
      </c>
      <c r="H25" s="635"/>
      <c r="I25" s="639"/>
    </row>
    <row r="26" spans="1:9" ht="15" x14ac:dyDescent="0.2">
      <c r="A26" s="1185"/>
      <c r="B26" s="1197"/>
      <c r="C26" s="1197"/>
      <c r="D26" s="638"/>
      <c r="E26" s="637" t="str">
        <f>IF(OR(A26&lt;&gt;"",B26&lt;&gt;"",C26&lt;&gt;""),'Admin Sheet'!$B$44,"")</f>
        <v/>
      </c>
      <c r="F26" s="637" t="str">
        <f>IF(OR(A26&lt;&gt;"",B26&lt;&gt;"",C26&lt;&gt;""),'Admin Sheet'!$B$37,"")</f>
        <v/>
      </c>
      <c r="G26" s="637" t="str">
        <f>IF(OR(A26&lt;&gt;"",B26&lt;&gt;"",C26&lt;&gt;""),'Admin Sheet'!$B$41,"")</f>
        <v/>
      </c>
      <c r="H26" s="635"/>
      <c r="I26" s="639"/>
    </row>
    <row r="27" spans="1:9" ht="15" x14ac:dyDescent="0.2">
      <c r="A27" s="1185"/>
      <c r="B27" s="1197"/>
      <c r="C27" s="1197"/>
      <c r="D27" s="638"/>
      <c r="E27" s="637" t="str">
        <f>IF(OR(A27&lt;&gt;"",B27&lt;&gt;"",C27&lt;&gt;""),'Admin Sheet'!$B$44,"")</f>
        <v/>
      </c>
      <c r="F27" s="637" t="str">
        <f>IF(OR(A27&lt;&gt;"",B27&lt;&gt;"",C27&lt;&gt;""),'Admin Sheet'!$B$37,"")</f>
        <v/>
      </c>
      <c r="G27" s="637" t="str">
        <f>IF(OR(A27&lt;&gt;"",B27&lt;&gt;"",C27&lt;&gt;""),'Admin Sheet'!$B$41,"")</f>
        <v/>
      </c>
      <c r="H27" s="635"/>
      <c r="I27" s="639"/>
    </row>
    <row r="28" spans="1:9" ht="15" x14ac:dyDescent="0.2">
      <c r="A28" s="1185"/>
      <c r="B28" s="1197"/>
      <c r="C28" s="1197"/>
      <c r="D28" s="638"/>
      <c r="E28" s="637" t="str">
        <f>IF(OR(A28&lt;&gt;"",B28&lt;&gt;"",C28&lt;&gt;""),'Admin Sheet'!$B$44,"")</f>
        <v/>
      </c>
      <c r="F28" s="637" t="str">
        <f>IF(OR(A28&lt;&gt;"",B28&lt;&gt;"",C28&lt;&gt;""),'Admin Sheet'!$B$37,"")</f>
        <v/>
      </c>
      <c r="G28" s="637" t="str">
        <f>IF(OR(A28&lt;&gt;"",B28&lt;&gt;"",C28&lt;&gt;""),'Admin Sheet'!$B$41,"")</f>
        <v/>
      </c>
      <c r="H28" s="635"/>
      <c r="I28" s="639"/>
    </row>
    <row r="29" spans="1:9" ht="15" x14ac:dyDescent="0.2">
      <c r="A29" s="1185"/>
      <c r="B29" s="1197"/>
      <c r="C29" s="1197"/>
      <c r="D29" s="638"/>
      <c r="E29" s="637" t="str">
        <f>IF(OR(A29&lt;&gt;"",B29&lt;&gt;"",C29&lt;&gt;""),'Admin Sheet'!$B$44,"")</f>
        <v/>
      </c>
      <c r="F29" s="637" t="str">
        <f>IF(OR(A29&lt;&gt;"",B29&lt;&gt;"",C29&lt;&gt;""),'Admin Sheet'!$B$37,"")</f>
        <v/>
      </c>
      <c r="G29" s="637" t="str">
        <f>IF(OR(A29&lt;&gt;"",B29&lt;&gt;"",C29&lt;&gt;""),'Admin Sheet'!$B$41,"")</f>
        <v/>
      </c>
      <c r="H29" s="635"/>
      <c r="I29" s="639"/>
    </row>
    <row r="30" spans="1:9" ht="15" x14ac:dyDescent="0.2">
      <c r="A30" s="1185"/>
      <c r="B30" s="1197"/>
      <c r="C30" s="1197"/>
      <c r="D30" s="638"/>
      <c r="E30" s="637" t="str">
        <f>IF(OR(A30&lt;&gt;"",B30&lt;&gt;"",C30&lt;&gt;""),'Admin Sheet'!$B$44,"")</f>
        <v/>
      </c>
      <c r="F30" s="637" t="str">
        <f>IF(OR(A30&lt;&gt;"",B30&lt;&gt;"",C30&lt;&gt;""),'Admin Sheet'!$B$37,"")</f>
        <v/>
      </c>
      <c r="G30" s="637" t="str">
        <f>IF(OR(A30&lt;&gt;"",B30&lt;&gt;"",C30&lt;&gt;""),'Admin Sheet'!$B$41,"")</f>
        <v/>
      </c>
      <c r="H30" s="635"/>
      <c r="I30" s="639"/>
    </row>
    <row r="31" spans="1:9" ht="15" x14ac:dyDescent="0.2">
      <c r="A31" s="1185"/>
      <c r="B31" s="1197"/>
      <c r="C31" s="1197"/>
      <c r="D31" s="638"/>
      <c r="E31" s="637" t="str">
        <f>IF(OR(A31&lt;&gt;"",B31&lt;&gt;"",C31&lt;&gt;""),'Admin Sheet'!$B$44,"")</f>
        <v/>
      </c>
      <c r="F31" s="637" t="str">
        <f>IF(OR(A31&lt;&gt;"",B31&lt;&gt;"",C31&lt;&gt;""),'Admin Sheet'!$B$37,"")</f>
        <v/>
      </c>
      <c r="G31" s="637" t="str">
        <f>IF(OR(A31&lt;&gt;"",B31&lt;&gt;"",C31&lt;&gt;""),'Admin Sheet'!$B$41,"")</f>
        <v/>
      </c>
      <c r="H31" s="635"/>
      <c r="I31" s="639"/>
    </row>
    <row r="32" spans="1:9" ht="15" x14ac:dyDescent="0.2">
      <c r="A32" s="1185"/>
      <c r="B32" s="1197"/>
      <c r="C32" s="1197"/>
      <c r="D32" s="638"/>
      <c r="E32" s="637" t="str">
        <f>IF(OR(A32&lt;&gt;"",B32&lt;&gt;"",C32&lt;&gt;""),'Admin Sheet'!$B$44,"")</f>
        <v/>
      </c>
      <c r="F32" s="637" t="str">
        <f>IF(OR(A32&lt;&gt;"",B32&lt;&gt;"",C32&lt;&gt;""),'Admin Sheet'!$B$37,"")</f>
        <v/>
      </c>
      <c r="G32" s="637" t="str">
        <f>IF(OR(A32&lt;&gt;"",B32&lt;&gt;"",C32&lt;&gt;""),'Admin Sheet'!$B$41,"")</f>
        <v/>
      </c>
      <c r="H32" s="635"/>
      <c r="I32" s="639"/>
    </row>
    <row r="33" spans="1:9" ht="15" x14ac:dyDescent="0.2">
      <c r="A33" s="1185"/>
      <c r="B33" s="1197"/>
      <c r="C33" s="1197"/>
      <c r="D33" s="638"/>
      <c r="E33" s="637" t="str">
        <f>IF(OR(A33&lt;&gt;"",B33&lt;&gt;"",C33&lt;&gt;""),'Admin Sheet'!$B$44,"")</f>
        <v/>
      </c>
      <c r="F33" s="637" t="str">
        <f>IF(OR(A33&lt;&gt;"",B33&lt;&gt;"",C33&lt;&gt;""),'Admin Sheet'!$B$37,"")</f>
        <v/>
      </c>
      <c r="G33" s="637" t="str">
        <f>IF(OR(A33&lt;&gt;"",B33&lt;&gt;"",C33&lt;&gt;""),'Admin Sheet'!$B$41,"")</f>
        <v/>
      </c>
      <c r="H33" s="635"/>
      <c r="I33" s="639"/>
    </row>
    <row r="34" spans="1:9" ht="15" x14ac:dyDescent="0.2">
      <c r="A34" s="1185"/>
      <c r="B34" s="1197"/>
      <c r="C34" s="1197"/>
      <c r="D34" s="638"/>
      <c r="E34" s="637" t="str">
        <f>IF(OR(A34&lt;&gt;"",B34&lt;&gt;"",C34&lt;&gt;""),'Admin Sheet'!$B$44,"")</f>
        <v/>
      </c>
      <c r="F34" s="637" t="str">
        <f>IF(OR(A34&lt;&gt;"",B34&lt;&gt;"",C34&lt;&gt;""),'Admin Sheet'!$B$37,"")</f>
        <v/>
      </c>
      <c r="G34" s="637" t="str">
        <f>IF(OR(A34&lt;&gt;"",B34&lt;&gt;"",C34&lt;&gt;""),'Admin Sheet'!$B$41,"")</f>
        <v/>
      </c>
      <c r="H34" s="635"/>
      <c r="I34" s="639"/>
    </row>
    <row r="35" spans="1:9" ht="15" x14ac:dyDescent="0.2">
      <c r="A35" s="1185"/>
      <c r="B35" s="1197"/>
      <c r="C35" s="1197"/>
      <c r="D35" s="638"/>
      <c r="E35" s="637" t="str">
        <f>IF(OR(A35&lt;&gt;"",B35&lt;&gt;"",C35&lt;&gt;""),'Admin Sheet'!$B$44,"")</f>
        <v/>
      </c>
      <c r="F35" s="637" t="str">
        <f>IF(OR(A35&lt;&gt;"",B35&lt;&gt;"",C35&lt;&gt;""),'Admin Sheet'!$B$37,"")</f>
        <v/>
      </c>
      <c r="G35" s="637" t="str">
        <f>IF(OR(A35&lt;&gt;"",B35&lt;&gt;"",C35&lt;&gt;""),'Admin Sheet'!$B$41,"")</f>
        <v/>
      </c>
      <c r="H35" s="635"/>
      <c r="I35" s="639"/>
    </row>
    <row r="36" spans="1:9" ht="15" x14ac:dyDescent="0.2">
      <c r="A36" s="1185"/>
      <c r="B36" s="1197"/>
      <c r="C36" s="1197"/>
      <c r="D36" s="638"/>
      <c r="E36" s="637" t="str">
        <f>IF(OR(A36&lt;&gt;"",B36&lt;&gt;"",C36&lt;&gt;""),'Admin Sheet'!$B$44,"")</f>
        <v/>
      </c>
      <c r="F36" s="637" t="str">
        <f>IF(OR(A36&lt;&gt;"",B36&lt;&gt;"",C36&lt;&gt;""),'Admin Sheet'!$B$37,"")</f>
        <v/>
      </c>
      <c r="G36" s="637" t="str">
        <f>IF(OR(A36&lt;&gt;"",B36&lt;&gt;"",C36&lt;&gt;""),'Admin Sheet'!$B$41,"")</f>
        <v/>
      </c>
      <c r="H36" s="635"/>
      <c r="I36" s="639"/>
    </row>
    <row r="37" spans="1:9" ht="15" x14ac:dyDescent="0.2">
      <c r="A37" s="1185"/>
      <c r="B37" s="1197"/>
      <c r="C37" s="1197"/>
      <c r="D37" s="638"/>
      <c r="E37" s="637" t="str">
        <f>IF(OR(A37&lt;&gt;"",B37&lt;&gt;"",C37&lt;&gt;""),'Admin Sheet'!$B$44,"")</f>
        <v/>
      </c>
      <c r="F37" s="637" t="str">
        <f>IF(OR(A37&lt;&gt;"",B37&lt;&gt;"",C37&lt;&gt;""),'Admin Sheet'!$B$37,"")</f>
        <v/>
      </c>
      <c r="G37" s="637" t="str">
        <f>IF(OR(A37&lt;&gt;"",B37&lt;&gt;"",C37&lt;&gt;""),'Admin Sheet'!$B$41,"")</f>
        <v/>
      </c>
      <c r="H37" s="635"/>
      <c r="I37" s="639"/>
    </row>
    <row r="38" spans="1:9" ht="15" x14ac:dyDescent="0.2">
      <c r="A38" s="1185"/>
      <c r="B38" s="1197"/>
      <c r="C38" s="1197"/>
      <c r="D38" s="638"/>
      <c r="E38" s="637" t="str">
        <f>IF(OR(A38&lt;&gt;"",B38&lt;&gt;"",C38&lt;&gt;""),'Admin Sheet'!$B$44,"")</f>
        <v/>
      </c>
      <c r="F38" s="637" t="str">
        <f>IF(OR(A38&lt;&gt;"",B38&lt;&gt;"",C38&lt;&gt;""),'Admin Sheet'!$B$37,"")</f>
        <v/>
      </c>
      <c r="G38" s="637" t="str">
        <f>IF(OR(A38&lt;&gt;"",B38&lt;&gt;"",C38&lt;&gt;""),'Admin Sheet'!$B$41,"")</f>
        <v/>
      </c>
      <c r="H38" s="635"/>
      <c r="I38" s="639"/>
    </row>
    <row r="39" spans="1:9" ht="15" x14ac:dyDescent="0.2">
      <c r="A39" s="1185"/>
      <c r="B39" s="1197"/>
      <c r="C39" s="1197"/>
      <c r="D39" s="638"/>
      <c r="E39" s="637" t="str">
        <f>IF(OR(A39&lt;&gt;"",B39&lt;&gt;"",C39&lt;&gt;""),'Admin Sheet'!$B$44,"")</f>
        <v/>
      </c>
      <c r="F39" s="637" t="str">
        <f>IF(OR(A39&lt;&gt;"",B39&lt;&gt;"",C39&lt;&gt;""),'Admin Sheet'!$B$37,"")</f>
        <v/>
      </c>
      <c r="G39" s="637" t="str">
        <f>IF(OR(A39&lt;&gt;"",B39&lt;&gt;"",C39&lt;&gt;""),'Admin Sheet'!$B$41,"")</f>
        <v/>
      </c>
      <c r="H39" s="635"/>
      <c r="I39" s="639"/>
    </row>
    <row r="40" spans="1:9" ht="15" x14ac:dyDescent="0.2">
      <c r="A40" s="1185"/>
      <c r="B40" s="1197"/>
      <c r="C40" s="1197"/>
      <c r="D40" s="638"/>
      <c r="E40" s="637" t="str">
        <f>IF(OR(A40&lt;&gt;"",B40&lt;&gt;"",C40&lt;&gt;""),'Admin Sheet'!$B$44,"")</f>
        <v/>
      </c>
      <c r="F40" s="637" t="str">
        <f>IF(OR(A40&lt;&gt;"",B40&lt;&gt;"",C40&lt;&gt;""),'Admin Sheet'!$B$37,"")</f>
        <v/>
      </c>
      <c r="G40" s="637" t="str">
        <f>IF(OR(A40&lt;&gt;"",B40&lt;&gt;"",C40&lt;&gt;""),'Admin Sheet'!$B$41,"")</f>
        <v/>
      </c>
      <c r="H40" s="635"/>
      <c r="I40" s="639"/>
    </row>
    <row r="41" spans="1:9" hidden="1" x14ac:dyDescent="0.2">
      <c r="A41" s="640"/>
      <c r="B41" s="641"/>
      <c r="C41" s="641"/>
      <c r="D41" s="642"/>
      <c r="E41" s="643"/>
      <c r="F41" s="637" t="str">
        <f>IF(OR(A41&lt;&gt;"",B41&lt;&gt;"",C41&lt;&gt;""),'Admin Sheet'!$B$37,"")</f>
        <v/>
      </c>
      <c r="G41" s="637" t="str">
        <f>IF(OR(A41&lt;&gt;"",B41&lt;&gt;"",C41&lt;&gt;""),'Admin Sheet'!$B$41,"")</f>
        <v/>
      </c>
      <c r="H41" s="644"/>
      <c r="I41" s="554"/>
    </row>
    <row r="42" spans="1:9" hidden="1" x14ac:dyDescent="0.2">
      <c r="A42" s="640"/>
      <c r="B42" s="641"/>
      <c r="C42" s="641"/>
      <c r="D42" s="642"/>
      <c r="E42" s="643"/>
      <c r="F42" s="644"/>
      <c r="G42" s="644"/>
      <c r="H42" s="644"/>
      <c r="I42" s="554"/>
    </row>
    <row r="43" spans="1:9" hidden="1" x14ac:dyDescent="0.2">
      <c r="A43" s="645" t="s">
        <v>46</v>
      </c>
      <c r="B43" s="641"/>
      <c r="C43" s="641"/>
      <c r="D43" s="642"/>
      <c r="E43" s="643"/>
      <c r="F43" s="644"/>
      <c r="G43" s="644"/>
      <c r="H43" s="644"/>
      <c r="I43" s="554"/>
    </row>
    <row r="44" spans="1:9" hidden="1" x14ac:dyDescent="0.2">
      <c r="A44" s="645" t="s">
        <v>5</v>
      </c>
      <c r="B44" s="641"/>
      <c r="C44" s="641"/>
      <c r="D44" s="642"/>
      <c r="E44" s="643"/>
      <c r="F44" s="644"/>
      <c r="G44" s="644"/>
      <c r="H44" s="644"/>
      <c r="I44" s="554"/>
    </row>
    <row r="45" spans="1:9" hidden="1" x14ac:dyDescent="0.2">
      <c r="A45" s="645" t="s">
        <v>6</v>
      </c>
      <c r="B45" s="641"/>
      <c r="C45" s="641"/>
      <c r="D45" s="642"/>
      <c r="E45" s="643"/>
      <c r="F45" s="644"/>
      <c r="G45" s="644"/>
      <c r="H45" s="644"/>
      <c r="I45" s="554"/>
    </row>
    <row r="46" spans="1:9" hidden="1" x14ac:dyDescent="0.2">
      <c r="A46" s="640"/>
      <c r="B46" s="641"/>
      <c r="C46" s="641"/>
      <c r="D46" s="642"/>
      <c r="E46" s="643"/>
      <c r="F46" s="644"/>
      <c r="G46" s="644"/>
      <c r="H46" s="644"/>
      <c r="I46" s="554"/>
    </row>
    <row r="47" spans="1:9" hidden="1" x14ac:dyDescent="0.2">
      <c r="A47" s="645" t="s">
        <v>46</v>
      </c>
      <c r="B47" s="641"/>
      <c r="C47" s="641"/>
      <c r="D47" s="642"/>
      <c r="E47" s="643"/>
      <c r="F47" s="644"/>
      <c r="G47" s="644"/>
      <c r="H47" s="644"/>
      <c r="I47" s="554"/>
    </row>
    <row r="48" spans="1:9" hidden="1" x14ac:dyDescent="0.2">
      <c r="A48" s="645" t="s">
        <v>7</v>
      </c>
      <c r="B48" s="641"/>
      <c r="C48" s="641"/>
      <c r="D48" s="646"/>
      <c r="E48" s="643"/>
      <c r="F48" s="644"/>
      <c r="G48" s="644"/>
      <c r="H48" s="644"/>
      <c r="I48" s="554"/>
    </row>
    <row r="49" spans="1:9" hidden="1" x14ac:dyDescent="0.2">
      <c r="A49" s="645" t="s">
        <v>8</v>
      </c>
      <c r="B49" s="641"/>
      <c r="C49" s="641"/>
      <c r="D49" s="646"/>
      <c r="E49" s="643"/>
      <c r="F49" s="644"/>
      <c r="G49" s="644"/>
      <c r="H49" s="644"/>
      <c r="I49" s="554"/>
    </row>
    <row r="50" spans="1:9" hidden="1" x14ac:dyDescent="0.2">
      <c r="A50" s="645" t="s">
        <v>9</v>
      </c>
      <c r="B50" s="641"/>
      <c r="C50" s="641"/>
      <c r="D50" s="646"/>
      <c r="E50" s="643"/>
      <c r="F50" s="644"/>
      <c r="G50" s="644"/>
      <c r="H50" s="644"/>
      <c r="I50" s="554"/>
    </row>
    <row r="51" spans="1:9" hidden="1" x14ac:dyDescent="0.2">
      <c r="A51" s="645" t="s">
        <v>10</v>
      </c>
      <c r="B51" s="641"/>
      <c r="C51" s="641"/>
      <c r="D51" s="646"/>
      <c r="E51" s="643"/>
      <c r="F51" s="644"/>
      <c r="G51" s="644"/>
      <c r="H51" s="644"/>
      <c r="I51" s="554"/>
    </row>
    <row r="52" spans="1:9" hidden="1" x14ac:dyDescent="0.2">
      <c r="A52" s="645" t="s">
        <v>11</v>
      </c>
      <c r="B52" s="641"/>
      <c r="C52" s="641"/>
      <c r="D52" s="646"/>
      <c r="E52" s="643"/>
      <c r="F52" s="644"/>
      <c r="G52" s="644"/>
      <c r="H52" s="644"/>
      <c r="I52" s="554"/>
    </row>
    <row r="53" spans="1:9" hidden="1" x14ac:dyDescent="0.2">
      <c r="A53" s="640"/>
      <c r="B53" s="641"/>
      <c r="C53" s="641"/>
      <c r="D53" s="646"/>
      <c r="E53" s="643"/>
      <c r="F53" s="644"/>
      <c r="G53" s="644"/>
      <c r="H53" s="644"/>
      <c r="I53" s="554"/>
    </row>
    <row r="54" spans="1:9" ht="1.35" customHeight="1" thickBot="1" x14ac:dyDescent="0.25">
      <c r="A54" s="647"/>
      <c r="B54" s="648"/>
      <c r="C54" s="648"/>
      <c r="D54" s="649"/>
      <c r="E54" s="650"/>
      <c r="F54" s="651"/>
      <c r="G54" s="651"/>
      <c r="H54" s="651"/>
      <c r="I54" s="553"/>
    </row>
  </sheetData>
  <sheetProtection algorithmName="SHA-512" hashValue="7QHSL8kYT+VBLbFUdNcp2B1oarvwx0p/vhNihOEX1q7jgfJeRpPs8ONK2aE4U1Ck0zVz2c7Qm8wPPQYkdgJLeg==" saltValue="l/gIK9899ULy21Ak40M/Tg==" spinCount="100000" sheet="1" objects="1" scenarios="1" formatCells="0" formatColumns="0" formatRows="0"/>
  <autoFilter ref="A9:H40"/>
  <mergeCells count="2">
    <mergeCell ref="A1:D1"/>
    <mergeCell ref="A6:D6"/>
  </mergeCells>
  <phoneticPr fontId="19" type="noConversion"/>
  <dataValidations count="2">
    <dataValidation type="list" allowBlank="1" showInputMessage="1" showErrorMessage="1" errorTitle="X-Author for Excel" error="Please select a value from the drop-down." promptTitle="X-Author for Excel" sqref="A10:A40">
      <formula1>IF(IFERROR(ROWS(INDIRECT(SUBSTITUTE("AIM_Grant_Requirement__c.AIM_Functional_Areas__c"," ","_"))),-1) &lt; 0, XAuthorInvalidPicklistData,INDIRECT(SUBSTITUTE("AIM_Grant_Requirement__c.AIM_Functional_Areas__c"," ","_")))</formula1>
    </dataValidation>
    <dataValidation type="custom" allowBlank="1" showInputMessage="1" showErrorMessage="1" errorTitle="X-Author for Excel" error="Id and Lookup fields are not editable." promptTitle="X-Author for Excel" sqref="E10:H40">
      <formula1>""</formula1>
    </dataValidation>
  </dataValidations>
  <printOptions horizontalCentered="1" verticalCentered="1"/>
  <pageMargins left="0.23622047244094491" right="0.23622047244094491" top="0.74803149606299213" bottom="0.74803149606299213" header="0.31496062992125984" footer="0.31496062992125984"/>
  <pageSetup paperSize="9" scale="46" orientation="portrait" cellComments="asDisplayed" r:id="rId1"/>
  <headerFooter>
    <oddFooter>&amp;L&amp;9&amp;A&amp;R&amp;9&amp;P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tabColor theme="3" tint="0.79998168889431442"/>
  </sheetPr>
  <dimension ref="A1:AE233"/>
  <sheetViews>
    <sheetView showGridLines="0" view="pageBreakPreview" topLeftCell="B6" zoomScale="70" zoomScaleNormal="60" zoomScaleSheetLayoutView="70" workbookViewId="0">
      <selection activeCell="E14" sqref="E12:E14"/>
    </sheetView>
  </sheetViews>
  <sheetFormatPr defaultColWidth="9.140625" defaultRowHeight="15" x14ac:dyDescent="0.2"/>
  <cols>
    <col min="1" max="1" width="33.5703125" style="351" customWidth="1"/>
    <col min="2" max="2" width="14.42578125" style="351" customWidth="1"/>
    <col min="3" max="5" width="21.140625" style="351" customWidth="1"/>
    <col min="6" max="6" width="19.85546875" style="351" customWidth="1"/>
    <col min="7" max="7" width="64.85546875" style="351" customWidth="1"/>
    <col min="8" max="8" width="8.85546875" style="352" customWidth="1"/>
    <col min="9" max="11" width="19.85546875" style="351" customWidth="1"/>
    <col min="12" max="12" width="17" style="350" customWidth="1"/>
    <col min="13" max="13" width="9.140625" style="350" customWidth="1"/>
    <col min="14" max="14" width="9.140625" style="350" hidden="1" customWidth="1"/>
    <col min="15" max="15" width="12.5703125" style="580" hidden="1" customWidth="1"/>
    <col min="16" max="16" width="14" style="350" hidden="1" customWidth="1"/>
    <col min="17" max="19" width="9.140625" style="350" hidden="1" customWidth="1"/>
    <col min="20" max="20" width="0" style="350" hidden="1" customWidth="1"/>
    <col min="21" max="24" width="9.140625" style="350"/>
    <col min="25" max="25" width="5.85546875" style="350" customWidth="1"/>
    <col min="26" max="26" width="9.140625" style="350" hidden="1" customWidth="1"/>
    <col min="27" max="27" width="14.85546875" style="350" customWidth="1"/>
    <col min="28" max="28" width="64.85546875" style="350" hidden="1" customWidth="1"/>
    <col min="29" max="16384" width="9.140625" style="350"/>
  </cols>
  <sheetData>
    <row r="1" spans="1:21" s="351" customFormat="1" ht="45.75" customHeight="1" thickBot="1" x14ac:dyDescent="0.25">
      <c r="A1" s="1717" t="str">
        <f>IF(CoverSheet!J12="N/A","Progress Report","Progress Report with Disbursement Request")</f>
        <v>Progress Report with Disbursement Request</v>
      </c>
      <c r="B1" s="1717"/>
      <c r="C1" s="1717"/>
      <c r="D1" s="1717"/>
      <c r="E1" s="1717"/>
      <c r="F1" s="1717"/>
      <c r="G1" s="1717"/>
      <c r="H1" s="352"/>
      <c r="O1" s="576"/>
    </row>
    <row r="2" spans="1:21" s="356" customFormat="1" ht="38.25" customHeight="1" thickBot="1" x14ac:dyDescent="0.25">
      <c r="A2" s="858" t="s">
        <v>269</v>
      </c>
      <c r="B2" s="859"/>
      <c r="C2" s="859"/>
      <c r="D2" s="859"/>
      <c r="E2" s="859"/>
      <c r="F2" s="859"/>
      <c r="G2" s="862"/>
      <c r="H2" s="863"/>
      <c r="I2" s="860"/>
      <c r="J2" s="860"/>
      <c r="K2" s="860"/>
      <c r="L2" s="861"/>
      <c r="O2" s="577"/>
    </row>
    <row r="3" spans="1:21" s="351" customFormat="1" ht="39" customHeight="1" x14ac:dyDescent="0.2">
      <c r="D3" s="1718" t="str">
        <f>CoverSheet!F9</f>
        <v>Period of Financial Reporting</v>
      </c>
      <c r="E3" s="1719"/>
      <c r="F3" s="854" t="str">
        <f>CoverSheet!I9</f>
        <v>Beginning Date:</v>
      </c>
      <c r="G3" s="855">
        <f>IF(CoverSheet!J9="","N/A",CoverSheet!J9)</f>
        <v>42736</v>
      </c>
      <c r="H3" s="854" t="str">
        <f>CoverSheet!K9</f>
        <v>End Date:</v>
      </c>
      <c r="I3" s="904">
        <f>IF(CoverSheet!L9="","N/A",CoverSheet!L9)</f>
        <v>43100</v>
      </c>
      <c r="O3" s="576"/>
    </row>
    <row r="4" spans="1:21" s="351" customFormat="1" ht="33" customHeight="1" thickBot="1" x14ac:dyDescent="0.25">
      <c r="D4" s="1720" t="s">
        <v>538</v>
      </c>
      <c r="E4" s="1721"/>
      <c r="F4" s="856" t="str">
        <f>CoverSheet!I9</f>
        <v>Beginning Date:</v>
      </c>
      <c r="G4" s="857">
        <f>IF(_00de7129_653b_4d69_830e_62f54dcfdb6c="","N/A",_00de7129_653b_4d69_830e_62f54dcfdb6c)</f>
        <v>42095</v>
      </c>
      <c r="H4" s="856" t="str">
        <f>CoverSheet!K9</f>
        <v>End Date:</v>
      </c>
      <c r="I4" s="905">
        <f>IF(CoverSheet!L9="","N/A",CoverSheet!L9)</f>
        <v>43100</v>
      </c>
      <c r="N4" s="1000"/>
      <c r="O4" s="1000"/>
      <c r="P4" s="1000"/>
      <c r="Q4" s="1000"/>
      <c r="R4" s="1000"/>
      <c r="S4" s="1000"/>
      <c r="T4" s="1000"/>
    </row>
    <row r="5" spans="1:21" s="351" customFormat="1" ht="33" customHeight="1" x14ac:dyDescent="0.2">
      <c r="A5" s="109" t="s">
        <v>604</v>
      </c>
      <c r="B5" s="112"/>
      <c r="C5" s="112"/>
      <c r="D5" s="109"/>
      <c r="E5" s="112"/>
      <c r="F5" s="112"/>
      <c r="G5" s="112"/>
      <c r="H5" s="112"/>
      <c r="I5" s="112"/>
      <c r="J5" s="112"/>
      <c r="K5" s="112"/>
      <c r="L5" s="112"/>
      <c r="M5" s="352"/>
      <c r="N5" s="1000"/>
      <c r="O5" s="1000"/>
      <c r="P5" s="1000"/>
      <c r="Q5" s="1000"/>
      <c r="R5" s="1000"/>
      <c r="S5" s="1000"/>
      <c r="T5" s="1000"/>
    </row>
    <row r="6" spans="1:21" s="352" customFormat="1" ht="24" customHeight="1" thickBot="1" x14ac:dyDescent="0.25">
      <c r="A6" s="353"/>
      <c r="B6" s="1107" t="s">
        <v>20</v>
      </c>
      <c r="C6" s="1107"/>
      <c r="D6" s="1107"/>
      <c r="E6" s="1107"/>
      <c r="F6" s="1107"/>
      <c r="G6" s="354"/>
      <c r="I6" s="1107" t="s">
        <v>136</v>
      </c>
      <c r="J6" s="1107"/>
      <c r="K6" s="1107"/>
      <c r="L6" s="1107"/>
      <c r="N6" s="1001"/>
      <c r="O6" s="1109"/>
      <c r="P6" s="1109"/>
      <c r="Q6" s="1109"/>
      <c r="R6" s="1109"/>
      <c r="S6" s="1109"/>
      <c r="T6" s="1109"/>
      <c r="U6" s="353"/>
    </row>
    <row r="7" spans="1:21" s="352" customFormat="1" ht="59.45" customHeight="1" x14ac:dyDescent="0.2">
      <c r="A7" s="1252" t="s">
        <v>603</v>
      </c>
      <c r="B7" s="536"/>
      <c r="C7" s="1253" t="s">
        <v>40</v>
      </c>
      <c r="D7" s="1253" t="s">
        <v>134</v>
      </c>
      <c r="E7" s="1253" t="s">
        <v>83</v>
      </c>
      <c r="F7" s="1253" t="s">
        <v>614</v>
      </c>
      <c r="G7" s="1253" t="s">
        <v>149</v>
      </c>
      <c r="H7" s="536"/>
      <c r="I7" s="1253" t="s">
        <v>22</v>
      </c>
      <c r="J7" s="1253" t="s">
        <v>137</v>
      </c>
      <c r="K7" s="1253" t="s">
        <v>138</v>
      </c>
      <c r="L7" s="1253" t="s">
        <v>614</v>
      </c>
      <c r="M7" s="1254"/>
      <c r="N7" s="1255"/>
      <c r="O7" s="1256" t="s">
        <v>356</v>
      </c>
      <c r="P7" s="1256" t="s">
        <v>556</v>
      </c>
      <c r="Q7" s="1109"/>
      <c r="R7" s="1109"/>
      <c r="S7" s="1109"/>
      <c r="T7" s="1109"/>
      <c r="U7" s="353"/>
    </row>
    <row r="8" spans="1:21" s="352" customFormat="1" ht="20.100000000000001" hidden="1" customHeight="1" x14ac:dyDescent="0.2">
      <c r="A8" s="1257" t="s">
        <v>544</v>
      </c>
      <c r="B8" s="536"/>
      <c r="C8" s="1258" t="s">
        <v>386</v>
      </c>
      <c r="D8" s="1062" t="s">
        <v>388</v>
      </c>
      <c r="E8" s="1258">
        <f>IFERROR(C8-D8,0)</f>
        <v>0</v>
      </c>
      <c r="F8" s="1259" t="e">
        <f t="shared" ref="F8:F25" si="0">IF(AND(C8=0,D8=0),"N/A",IF(AND(C8=0,D8&lt;&gt;0),"Not Budgeted",D8/C8))</f>
        <v>#VALUE!</v>
      </c>
      <c r="G8" s="1260"/>
      <c r="H8" s="536"/>
      <c r="I8" s="1258" t="s">
        <v>387</v>
      </c>
      <c r="J8" s="1062" t="s">
        <v>389</v>
      </c>
      <c r="K8" s="1258">
        <f>IFERROR(I8-J8,0)</f>
        <v>0</v>
      </c>
      <c r="L8" s="1259" t="e">
        <f t="shared" ref="L8:L25" si="1">IF(AND(I8=0,J8=0),"N/A",IF(AND(I8=0,J8&lt;&gt;0),"Not Budgeted",J8/I8))</f>
        <v>#VALUE!</v>
      </c>
      <c r="M8" s="1254"/>
      <c r="N8" s="1255"/>
      <c r="O8" s="1256" t="s">
        <v>355</v>
      </c>
      <c r="P8" s="1261" t="s">
        <v>555</v>
      </c>
      <c r="Q8" s="1109"/>
      <c r="R8" s="1109"/>
      <c r="S8" s="1109"/>
      <c r="T8" s="1109"/>
      <c r="U8" s="353"/>
    </row>
    <row r="9" spans="1:21" s="352" customFormat="1" ht="180" x14ac:dyDescent="0.2">
      <c r="A9" s="1257" t="s">
        <v>1064</v>
      </c>
      <c r="B9" s="536"/>
      <c r="C9" s="1258">
        <v>964755.12</v>
      </c>
      <c r="D9" s="1062">
        <v>1197187.4300000002</v>
      </c>
      <c r="E9" s="1258">
        <f t="shared" ref="E9:E21" si="2">IFERROR(C9-D9,0)</f>
        <v>-232432.31000000017</v>
      </c>
      <c r="F9" s="1259">
        <f t="shared" si="0"/>
        <v>1.2409236345902992</v>
      </c>
      <c r="G9" s="1260" t="s">
        <v>1652</v>
      </c>
      <c r="H9" s="536"/>
      <c r="I9" s="1258">
        <v>2718752.09</v>
      </c>
      <c r="J9" s="1062">
        <v>2763948.5900000003</v>
      </c>
      <c r="K9" s="1258">
        <f t="shared" ref="K9:K21" si="3">IFERROR(I9-J9,0)</f>
        <v>-45196.500000000466</v>
      </c>
      <c r="L9" s="1259">
        <f t="shared" si="1"/>
        <v>1.0166239872205489</v>
      </c>
      <c r="M9" s="1254"/>
      <c r="N9" s="1255"/>
      <c r="O9" s="1256" t="s">
        <v>1065</v>
      </c>
      <c r="P9" s="1261">
        <v>1</v>
      </c>
      <c r="Q9" s="1109"/>
      <c r="R9" s="1109"/>
      <c r="S9" s="1109"/>
      <c r="T9" s="1109"/>
      <c r="U9" s="353"/>
    </row>
    <row r="10" spans="1:21" s="352" customFormat="1" ht="180" x14ac:dyDescent="0.2">
      <c r="A10" s="1257" t="s">
        <v>1066</v>
      </c>
      <c r="B10" s="536"/>
      <c r="C10" s="1258">
        <v>74300</v>
      </c>
      <c r="D10" s="1062">
        <v>80747.55049104552</v>
      </c>
      <c r="E10" s="1258">
        <f t="shared" si="2"/>
        <v>-6447.5504910455202</v>
      </c>
      <c r="F10" s="1259">
        <f t="shared" si="0"/>
        <v>1.0867772609831161</v>
      </c>
      <c r="G10" s="1260" t="s">
        <v>1653</v>
      </c>
      <c r="H10" s="536"/>
      <c r="I10" s="1258">
        <v>316200.09999999998</v>
      </c>
      <c r="J10" s="1062">
        <f>174095.542373775+9364.69</f>
        <v>183460.23237377501</v>
      </c>
      <c r="K10" s="1258">
        <f t="shared" si="3"/>
        <v>132739.86762622496</v>
      </c>
      <c r="L10" s="1259">
        <f t="shared" si="1"/>
        <v>0.58020295494459051</v>
      </c>
      <c r="M10" s="1254"/>
      <c r="N10" s="1255"/>
      <c r="O10" s="1256" t="s">
        <v>1067</v>
      </c>
      <c r="P10" s="1261">
        <v>2</v>
      </c>
      <c r="Q10" s="1109"/>
      <c r="R10" s="1109"/>
      <c r="S10" s="1109"/>
      <c r="T10" s="1109"/>
      <c r="U10" s="353"/>
    </row>
    <row r="11" spans="1:21" s="352" customFormat="1" ht="165" x14ac:dyDescent="0.2">
      <c r="A11" s="1257" t="s">
        <v>1068</v>
      </c>
      <c r="B11" s="536"/>
      <c r="C11" s="1258">
        <v>55920</v>
      </c>
      <c r="D11" s="1062">
        <f>129422.318275833+7200.05</f>
        <v>136622.368275833</v>
      </c>
      <c r="E11" s="1258">
        <f t="shared" si="2"/>
        <v>-80702.368275832996</v>
      </c>
      <c r="F11" s="1259">
        <f t="shared" si="0"/>
        <v>2.4431753983518059</v>
      </c>
      <c r="G11" s="1260" t="s">
        <v>1654</v>
      </c>
      <c r="H11" s="536"/>
      <c r="I11" s="1258">
        <v>256360</v>
      </c>
      <c r="J11" s="1062">
        <v>271382.35721587343</v>
      </c>
      <c r="K11" s="1258">
        <f t="shared" si="3"/>
        <v>-15022.357215873431</v>
      </c>
      <c r="L11" s="1259">
        <f t="shared" si="1"/>
        <v>1.0585986784828891</v>
      </c>
      <c r="M11" s="1254"/>
      <c r="N11" s="1255"/>
      <c r="O11" s="1256" t="s">
        <v>1069</v>
      </c>
      <c r="P11" s="1261">
        <v>3</v>
      </c>
      <c r="Q11" s="1109"/>
      <c r="R11" s="1109"/>
      <c r="S11" s="1109"/>
      <c r="T11" s="1109"/>
      <c r="U11" s="353"/>
    </row>
    <row r="12" spans="1:21" s="352" customFormat="1" ht="120" x14ac:dyDescent="0.2">
      <c r="A12" s="1257" t="s">
        <v>1070</v>
      </c>
      <c r="B12" s="536"/>
      <c r="C12" s="1258">
        <v>32000</v>
      </c>
      <c r="D12" s="1062">
        <v>47331.420175620005</v>
      </c>
      <c r="E12" s="1258">
        <f t="shared" si="2"/>
        <v>-15331.420175620005</v>
      </c>
      <c r="F12" s="1259">
        <f t="shared" si="0"/>
        <v>1.4791068804881251</v>
      </c>
      <c r="G12" s="1260" t="s">
        <v>1655</v>
      </c>
      <c r="H12" s="536"/>
      <c r="I12" s="1258">
        <v>2039000</v>
      </c>
      <c r="J12" s="1062">
        <f>1400118.38208191+37728.17</f>
        <v>1437846.55208191</v>
      </c>
      <c r="K12" s="1258">
        <f t="shared" si="3"/>
        <v>601153.44791809004</v>
      </c>
      <c r="L12" s="1259">
        <f t="shared" si="1"/>
        <v>0.70517241396856789</v>
      </c>
      <c r="M12" s="1254"/>
      <c r="N12" s="1255"/>
      <c r="O12" s="1256" t="s">
        <v>1071</v>
      </c>
      <c r="P12" s="1261">
        <v>4</v>
      </c>
      <c r="Q12" s="1109"/>
      <c r="R12" s="1109"/>
      <c r="S12" s="1109"/>
      <c r="T12" s="1109"/>
      <c r="U12" s="353"/>
    </row>
    <row r="13" spans="1:21" s="352" customFormat="1" ht="135" x14ac:dyDescent="0.2">
      <c r="A13" s="1257" t="s">
        <v>1072</v>
      </c>
      <c r="B13" s="536"/>
      <c r="C13" s="1258">
        <v>192120</v>
      </c>
      <c r="D13" s="1062">
        <v>267648.60339049506</v>
      </c>
      <c r="E13" s="1258">
        <f t="shared" si="2"/>
        <v>-75528.60339049506</v>
      </c>
      <c r="F13" s="1259">
        <f t="shared" si="0"/>
        <v>1.393132434887024</v>
      </c>
      <c r="G13" s="1260" t="s">
        <v>1656</v>
      </c>
      <c r="H13" s="536"/>
      <c r="I13" s="1258">
        <v>799560</v>
      </c>
      <c r="J13" s="1062">
        <v>525683.31279114448</v>
      </c>
      <c r="K13" s="1258">
        <f t="shared" si="3"/>
        <v>273876.68720885552</v>
      </c>
      <c r="L13" s="1259">
        <f t="shared" si="1"/>
        <v>0.65746574714986306</v>
      </c>
      <c r="M13" s="1254"/>
      <c r="N13" s="1255"/>
      <c r="O13" s="1256" t="s">
        <v>1073</v>
      </c>
      <c r="P13" s="1261">
        <v>5</v>
      </c>
      <c r="Q13" s="1109"/>
      <c r="R13" s="1109"/>
      <c r="S13" s="1109"/>
      <c r="T13" s="1109"/>
      <c r="U13" s="353"/>
    </row>
    <row r="14" spans="1:21" s="352" customFormat="1" ht="135" x14ac:dyDescent="0.2">
      <c r="A14" s="1257" t="s">
        <v>1074</v>
      </c>
      <c r="B14" s="536"/>
      <c r="C14" s="1258">
        <v>0</v>
      </c>
      <c r="D14" s="1062">
        <v>138703</v>
      </c>
      <c r="E14" s="1258">
        <f t="shared" si="2"/>
        <v>-138703</v>
      </c>
      <c r="F14" s="1259" t="str">
        <f t="shared" si="0"/>
        <v>Not Budgeted</v>
      </c>
      <c r="G14" s="1260" t="s">
        <v>1657</v>
      </c>
      <c r="H14" s="536"/>
      <c r="I14" s="1258">
        <v>360000</v>
      </c>
      <c r="J14" s="1062">
        <v>495481.42417022225</v>
      </c>
      <c r="K14" s="1258">
        <f t="shared" si="3"/>
        <v>-135481.42417022225</v>
      </c>
      <c r="L14" s="1259">
        <f t="shared" si="1"/>
        <v>1.3763372893617285</v>
      </c>
      <c r="M14" s="1254"/>
      <c r="N14" s="1255"/>
      <c r="O14" s="1256" t="s">
        <v>1075</v>
      </c>
      <c r="P14" s="1261">
        <v>6</v>
      </c>
      <c r="Q14" s="1109"/>
      <c r="R14" s="1109"/>
      <c r="S14" s="1109"/>
      <c r="T14" s="1109"/>
      <c r="U14" s="353"/>
    </row>
    <row r="15" spans="1:21" s="352" customFormat="1" ht="120" x14ac:dyDescent="0.2">
      <c r="A15" s="1257" t="s">
        <v>1076</v>
      </c>
      <c r="B15" s="536"/>
      <c r="C15" s="1258">
        <v>60000</v>
      </c>
      <c r="D15" s="1062">
        <v>47195.315230168308</v>
      </c>
      <c r="E15" s="1258">
        <f t="shared" si="2"/>
        <v>12804.684769831692</v>
      </c>
      <c r="F15" s="1259">
        <f t="shared" si="0"/>
        <v>0.78658858716947178</v>
      </c>
      <c r="G15" s="1260" t="s">
        <v>1658</v>
      </c>
      <c r="H15" s="536"/>
      <c r="I15" s="1258">
        <v>142500</v>
      </c>
      <c r="J15" s="1062">
        <v>93701.049650064961</v>
      </c>
      <c r="K15" s="1258">
        <f t="shared" si="3"/>
        <v>48798.950349935039</v>
      </c>
      <c r="L15" s="1259">
        <f t="shared" si="1"/>
        <v>0.65755122561449098</v>
      </c>
      <c r="M15" s="1254"/>
      <c r="N15" s="1255"/>
      <c r="O15" s="1256" t="s">
        <v>1077</v>
      </c>
      <c r="P15" s="1261">
        <v>7</v>
      </c>
      <c r="Q15" s="1109"/>
      <c r="R15" s="1109"/>
      <c r="S15" s="1109"/>
      <c r="T15" s="1109"/>
      <c r="U15" s="353"/>
    </row>
    <row r="16" spans="1:21" s="352" customFormat="1" ht="105" x14ac:dyDescent="0.2">
      <c r="A16" s="1257" t="s">
        <v>1078</v>
      </c>
      <c r="B16" s="536"/>
      <c r="C16" s="1258">
        <v>0</v>
      </c>
      <c r="D16" s="1062">
        <v>226838.33</v>
      </c>
      <c r="E16" s="1258">
        <f t="shared" si="2"/>
        <v>-226838.33</v>
      </c>
      <c r="F16" s="1259" t="str">
        <f t="shared" si="0"/>
        <v>Not Budgeted</v>
      </c>
      <c r="G16" s="1260" t="s">
        <v>1659</v>
      </c>
      <c r="H16" s="536"/>
      <c r="I16" s="1258">
        <v>677200</v>
      </c>
      <c r="J16" s="1062">
        <v>227802.72999999998</v>
      </c>
      <c r="K16" s="1258">
        <f t="shared" si="3"/>
        <v>449397.27</v>
      </c>
      <c r="L16" s="1259">
        <f t="shared" si="1"/>
        <v>0.33638914648552865</v>
      </c>
      <c r="M16" s="1254"/>
      <c r="N16" s="1255"/>
      <c r="O16" s="1256" t="s">
        <v>1079</v>
      </c>
      <c r="P16" s="1261">
        <v>8</v>
      </c>
      <c r="Q16" s="1109"/>
      <c r="R16" s="1109"/>
      <c r="S16" s="1109"/>
      <c r="T16" s="1109"/>
      <c r="U16" s="353"/>
    </row>
    <row r="17" spans="1:25" s="352" customFormat="1" ht="135" x14ac:dyDescent="0.2">
      <c r="A17" s="1257" t="s">
        <v>1080</v>
      </c>
      <c r="B17" s="536"/>
      <c r="C17" s="1258">
        <v>11400</v>
      </c>
      <c r="D17" s="1062">
        <v>9449.9161202873765</v>
      </c>
      <c r="E17" s="1258">
        <f t="shared" si="2"/>
        <v>1950.0838797126235</v>
      </c>
      <c r="F17" s="1259">
        <f t="shared" si="0"/>
        <v>0.82894001055152422</v>
      </c>
      <c r="G17" s="1260" t="s">
        <v>1660</v>
      </c>
      <c r="H17" s="536"/>
      <c r="I17" s="1258">
        <v>54950</v>
      </c>
      <c r="J17" s="1062">
        <v>31747.122851289365</v>
      </c>
      <c r="K17" s="1258">
        <f t="shared" si="3"/>
        <v>23202.877148710635</v>
      </c>
      <c r="L17" s="1259">
        <f t="shared" si="1"/>
        <v>0.57774563878597573</v>
      </c>
      <c r="M17" s="1254"/>
      <c r="N17" s="1255"/>
      <c r="O17" s="1256" t="s">
        <v>1081</v>
      </c>
      <c r="P17" s="1261">
        <v>9</v>
      </c>
      <c r="Q17" s="1109"/>
      <c r="R17" s="1109"/>
      <c r="S17" s="1109"/>
      <c r="T17" s="1109"/>
      <c r="U17" s="353"/>
    </row>
    <row r="18" spans="1:25" s="352" customFormat="1" ht="150" x14ac:dyDescent="0.2">
      <c r="A18" s="1257" t="s">
        <v>1082</v>
      </c>
      <c r="B18" s="536"/>
      <c r="C18" s="1258">
        <v>6100</v>
      </c>
      <c r="D18" s="1062">
        <v>630.74</v>
      </c>
      <c r="E18" s="1258">
        <f t="shared" si="2"/>
        <v>5469.26</v>
      </c>
      <c r="F18" s="1259">
        <f t="shared" si="0"/>
        <v>0.10340000000000001</v>
      </c>
      <c r="G18" s="1260" t="s">
        <v>1661</v>
      </c>
      <c r="H18" s="536"/>
      <c r="I18" s="1258">
        <v>22350</v>
      </c>
      <c r="J18" s="1062">
        <v>3154.130226837086</v>
      </c>
      <c r="K18" s="1258">
        <f t="shared" si="3"/>
        <v>19195.869773162914</v>
      </c>
      <c r="L18" s="1259">
        <f t="shared" si="1"/>
        <v>0.14112439493678236</v>
      </c>
      <c r="M18" s="1254"/>
      <c r="N18" s="1255"/>
      <c r="O18" s="1256" t="s">
        <v>1083</v>
      </c>
      <c r="P18" s="1261">
        <v>10</v>
      </c>
      <c r="Q18" s="1109"/>
      <c r="R18" s="1109"/>
      <c r="S18" s="1109"/>
      <c r="T18" s="1109"/>
      <c r="U18" s="353"/>
    </row>
    <row r="19" spans="1:25" s="352" customFormat="1" ht="180" x14ac:dyDescent="0.2">
      <c r="A19" s="1257" t="s">
        <v>1084</v>
      </c>
      <c r="B19" s="536"/>
      <c r="C19" s="1258">
        <v>120500</v>
      </c>
      <c r="D19" s="1062">
        <v>88847.869556839709</v>
      </c>
      <c r="E19" s="1258">
        <f t="shared" si="2"/>
        <v>31652.130443160291</v>
      </c>
      <c r="F19" s="1259">
        <f t="shared" si="0"/>
        <v>0.73732671831402252</v>
      </c>
      <c r="G19" s="1260" t="s">
        <v>1662</v>
      </c>
      <c r="H19" s="536"/>
      <c r="I19" s="1258">
        <v>334850</v>
      </c>
      <c r="J19" s="1062">
        <v>217905.07471203979</v>
      </c>
      <c r="K19" s="1258">
        <f t="shared" si="3"/>
        <v>116944.92528796021</v>
      </c>
      <c r="L19" s="1259">
        <f t="shared" si="1"/>
        <v>0.65075429210703239</v>
      </c>
      <c r="M19" s="1254"/>
      <c r="N19" s="1255"/>
      <c r="O19" s="1256" t="s">
        <v>1085</v>
      </c>
      <c r="P19" s="1261">
        <v>11</v>
      </c>
      <c r="Q19" s="1109"/>
      <c r="R19" s="1109"/>
      <c r="S19" s="1109"/>
      <c r="T19" s="1109"/>
      <c r="U19" s="353"/>
    </row>
    <row r="20" spans="1:25" s="352" customFormat="1" ht="165" x14ac:dyDescent="0.2">
      <c r="A20" s="1257" t="s">
        <v>1086</v>
      </c>
      <c r="B20" s="536"/>
      <c r="C20" s="1258">
        <v>138500</v>
      </c>
      <c r="D20" s="1062">
        <v>380674.83999999997</v>
      </c>
      <c r="E20" s="1258">
        <f t="shared" si="2"/>
        <v>-242174.83999999997</v>
      </c>
      <c r="F20" s="1259">
        <f t="shared" si="0"/>
        <v>2.7485548014440431</v>
      </c>
      <c r="G20" s="1260" t="s">
        <v>1663</v>
      </c>
      <c r="H20" s="536"/>
      <c r="I20" s="1258">
        <v>600000</v>
      </c>
      <c r="J20" s="1062">
        <v>654052.5</v>
      </c>
      <c r="K20" s="1258">
        <f t="shared" si="3"/>
        <v>-54052.5</v>
      </c>
      <c r="L20" s="1259">
        <f t="shared" si="1"/>
        <v>1.0900875000000001</v>
      </c>
      <c r="M20" s="1254"/>
      <c r="N20" s="1255"/>
      <c r="O20" s="1256" t="s">
        <v>1087</v>
      </c>
      <c r="P20" s="1261">
        <v>12</v>
      </c>
      <c r="Q20" s="1109"/>
      <c r="R20" s="1109"/>
      <c r="S20" s="1109"/>
      <c r="T20" s="1109"/>
      <c r="U20" s="353"/>
    </row>
    <row r="21" spans="1:25" s="352" customFormat="1" ht="20.100000000000001" customHeight="1" x14ac:dyDescent="0.2">
      <c r="A21" s="1257" t="s">
        <v>1088</v>
      </c>
      <c r="B21" s="536"/>
      <c r="C21" s="1258">
        <v>0</v>
      </c>
      <c r="D21" s="1062">
        <f>7200.05-7200.05</f>
        <v>0</v>
      </c>
      <c r="E21" s="1258">
        <f t="shared" si="2"/>
        <v>0</v>
      </c>
      <c r="F21" s="1259" t="str">
        <f t="shared" si="0"/>
        <v>N/A</v>
      </c>
      <c r="G21" s="1260"/>
      <c r="H21" s="536"/>
      <c r="I21" s="1258">
        <v>0</v>
      </c>
      <c r="J21" s="1062">
        <f>47092.86-47092.86</f>
        <v>0</v>
      </c>
      <c r="K21" s="1258">
        <f t="shared" si="3"/>
        <v>0</v>
      </c>
      <c r="L21" s="1259" t="str">
        <f t="shared" si="1"/>
        <v>N/A</v>
      </c>
      <c r="M21" s="1254"/>
      <c r="N21" s="1255"/>
      <c r="O21" s="1256" t="s">
        <v>1089</v>
      </c>
      <c r="P21" s="1261">
        <v>13</v>
      </c>
      <c r="Q21" s="1109"/>
      <c r="R21" s="1109"/>
      <c r="S21" s="1109"/>
      <c r="T21" s="1109"/>
      <c r="U21" s="353"/>
    </row>
    <row r="22" spans="1:25" s="355" customFormat="1" ht="21" hidden="1" customHeight="1" x14ac:dyDescent="0.2">
      <c r="D22" s="355" t="s">
        <v>595</v>
      </c>
      <c r="J22" s="1108" t="s">
        <v>596</v>
      </c>
      <c r="N22" s="1004"/>
      <c r="O22" s="1113" t="s">
        <v>356</v>
      </c>
      <c r="P22" s="1126" t="s">
        <v>556</v>
      </c>
      <c r="Q22" s="1114" t="s">
        <v>601</v>
      </c>
      <c r="R22" s="1114"/>
      <c r="S22" s="1114"/>
      <c r="T22" s="1114"/>
      <c r="U22" s="1111"/>
      <c r="V22" s="1097"/>
      <c r="W22" s="1097"/>
      <c r="X22" s="1097"/>
      <c r="Y22" s="1097"/>
    </row>
    <row r="23" spans="1:25" s="352" customFormat="1" ht="20.45" hidden="1" customHeight="1" x14ac:dyDescent="0.2">
      <c r="A23" s="908" t="s">
        <v>612</v>
      </c>
      <c r="B23" s="594"/>
      <c r="C23" s="590" t="s">
        <v>386</v>
      </c>
      <c r="D23" s="589" t="s">
        <v>388</v>
      </c>
      <c r="E23" s="590">
        <f>IFERROR(C23-D23,0)</f>
        <v>0</v>
      </c>
      <c r="F23" s="591" t="e">
        <f t="shared" si="0"/>
        <v>#VALUE!</v>
      </c>
      <c r="G23" s="903"/>
      <c r="H23" s="594"/>
      <c r="I23" s="590" t="s">
        <v>387</v>
      </c>
      <c r="J23" s="589" t="s">
        <v>389</v>
      </c>
      <c r="K23" s="590">
        <f>IFERROR(I23-J23,0)</f>
        <v>0</v>
      </c>
      <c r="L23" s="591" t="e">
        <f t="shared" si="1"/>
        <v>#VALUE!</v>
      </c>
      <c r="M23" s="613"/>
      <c r="N23" s="1003"/>
      <c r="O23" s="1112" t="s">
        <v>355</v>
      </c>
      <c r="P23" s="1127" t="s">
        <v>555</v>
      </c>
      <c r="Q23" s="1109" t="s">
        <v>600</v>
      </c>
      <c r="R23" s="1109"/>
      <c r="S23" s="1109"/>
      <c r="T23" s="1109"/>
      <c r="U23" s="1110"/>
      <c r="V23" s="1098"/>
      <c r="W23" s="1098"/>
      <c r="X23" s="1098"/>
      <c r="Y23" s="1098"/>
    </row>
    <row r="24" spans="1:25" s="352" customFormat="1" ht="20.100000000000001" hidden="1" customHeight="1" x14ac:dyDescent="0.2">
      <c r="A24" s="1086"/>
      <c r="B24" s="1087"/>
      <c r="C24" s="991"/>
      <c r="D24" s="991"/>
      <c r="E24" s="992"/>
      <c r="F24" s="993"/>
      <c r="G24" s="1088"/>
      <c r="H24" s="994"/>
      <c r="I24" s="991"/>
      <c r="J24" s="991"/>
      <c r="K24" s="992"/>
      <c r="L24" s="993"/>
      <c r="M24" s="613"/>
      <c r="N24" s="1003"/>
      <c r="O24" s="1112" t="s">
        <v>356</v>
      </c>
      <c r="P24" s="1112"/>
      <c r="Q24" s="1109"/>
      <c r="R24" s="1109"/>
      <c r="S24" s="1109" t="s">
        <v>599</v>
      </c>
      <c r="T24" s="1109"/>
      <c r="U24" s="1110"/>
      <c r="V24" s="1098"/>
      <c r="W24" s="1098"/>
      <c r="X24" s="1098"/>
      <c r="Y24" s="1098"/>
    </row>
    <row r="25" spans="1:25" s="352" customFormat="1" ht="23.1" hidden="1" customHeight="1" x14ac:dyDescent="0.2">
      <c r="A25" s="1100"/>
      <c r="B25" s="636"/>
      <c r="C25" s="590" t="s">
        <v>386</v>
      </c>
      <c r="D25" s="589" t="s">
        <v>388</v>
      </c>
      <c r="E25" s="590">
        <f>IFERROR(C25-D25,0)</f>
        <v>0</v>
      </c>
      <c r="F25" s="591" t="e">
        <f t="shared" si="0"/>
        <v>#VALUE!</v>
      </c>
      <c r="G25" s="903"/>
      <c r="H25" s="594"/>
      <c r="I25" s="590" t="s">
        <v>387</v>
      </c>
      <c r="J25" s="589" t="s">
        <v>389</v>
      </c>
      <c r="K25" s="590">
        <f>IFERROR(I25-J25,0)</f>
        <v>0</v>
      </c>
      <c r="L25" s="591" t="e">
        <f t="shared" si="1"/>
        <v>#VALUE!</v>
      </c>
      <c r="M25" s="613"/>
      <c r="N25" s="1003"/>
      <c r="O25" s="1112" t="s">
        <v>355</v>
      </c>
      <c r="P25" s="1112"/>
      <c r="Q25" s="1109"/>
      <c r="R25" s="1109"/>
      <c r="S25" s="1109" t="str">
        <f>IF(A25&lt;&gt;"",VLOOKUP(A25,'Reference Records'!$E$97:$G$174,3,FALSE),"")</f>
        <v/>
      </c>
      <c r="T25" s="1109"/>
      <c r="U25" s="1110"/>
      <c r="V25" s="1098"/>
      <c r="W25" s="1098"/>
      <c r="X25" s="1098"/>
      <c r="Y25" s="1098"/>
    </row>
    <row r="26" spans="1:25" s="352" customFormat="1" ht="15" hidden="1" customHeight="1" thickBot="1" x14ac:dyDescent="0.25">
      <c r="A26" s="616"/>
      <c r="B26" s="619"/>
      <c r="C26" s="619"/>
      <c r="D26" s="619"/>
      <c r="E26" s="619"/>
      <c r="F26" s="619"/>
      <c r="G26" s="619"/>
      <c r="H26" s="1082"/>
      <c r="I26" s="619"/>
      <c r="J26" s="619"/>
      <c r="K26" s="619"/>
      <c r="L26" s="619"/>
      <c r="M26" s="614"/>
      <c r="N26" s="1005"/>
      <c r="O26" s="1112"/>
      <c r="P26" s="1112"/>
      <c r="Q26" s="1109"/>
      <c r="R26" s="1109"/>
      <c r="S26" s="1109"/>
      <c r="T26" s="1109"/>
      <c r="U26" s="1110"/>
      <c r="V26" s="1098"/>
      <c r="W26" s="1098"/>
      <c r="X26" s="1098"/>
      <c r="Y26" s="1098"/>
    </row>
    <row r="27" spans="1:25" s="352" customFormat="1" ht="27" customHeight="1" thickBot="1" x14ac:dyDescent="0.25">
      <c r="A27" s="1099" t="s">
        <v>86</v>
      </c>
      <c r="B27" s="1083"/>
      <c r="C27" s="1084">
        <f>ROUND(SUM(C8:C26),2)</f>
        <v>1655595.12</v>
      </c>
      <c r="D27" s="1084">
        <f>ROUND(SUM(D8:D26),2)</f>
        <v>2621877.38</v>
      </c>
      <c r="E27" s="1084">
        <f>ROUND(SUM(E8:E26),2)</f>
        <v>-966282.26</v>
      </c>
      <c r="F27" s="1085">
        <f>D27/C27</f>
        <v>1.5836464775276697</v>
      </c>
      <c r="G27" s="1085"/>
      <c r="H27" s="1083"/>
      <c r="I27" s="1084">
        <f>ROUND(SUM(I8:I26),2)</f>
        <v>8321722.1900000004</v>
      </c>
      <c r="J27" s="1084">
        <f>ROUND(SUM(J8:J26),2)</f>
        <v>6906165.0800000001</v>
      </c>
      <c r="K27" s="1084">
        <f>SUM(K8:K26)</f>
        <v>1415557.1139268433</v>
      </c>
      <c r="L27" s="1085">
        <f>J27/I27</f>
        <v>0.82989613475669266</v>
      </c>
      <c r="N27" s="1001"/>
      <c r="O27" s="1109"/>
      <c r="P27" s="1109"/>
      <c r="Q27" s="1109"/>
      <c r="R27" s="1109"/>
      <c r="S27" s="1109"/>
      <c r="T27" s="1109"/>
      <c r="U27" s="1110"/>
      <c r="V27" s="1098"/>
      <c r="W27" s="1098"/>
      <c r="X27" s="1098"/>
      <c r="Y27" s="1098"/>
    </row>
    <row r="28" spans="1:25" s="352" customFormat="1" ht="28.5" customHeight="1" x14ac:dyDescent="0.2">
      <c r="N28" s="1001"/>
      <c r="O28" s="1109"/>
      <c r="P28" s="1109"/>
      <c r="Q28" s="1109"/>
      <c r="R28" s="1109"/>
      <c r="S28" s="1109"/>
      <c r="T28" s="1109"/>
      <c r="U28" s="353"/>
    </row>
    <row r="29" spans="1:25" s="352" customFormat="1" ht="21" customHeight="1" thickBot="1" x14ac:dyDescent="0.25">
      <c r="A29" s="109" t="s">
        <v>267</v>
      </c>
      <c r="B29" s="112"/>
      <c r="C29" s="112"/>
      <c r="D29" s="109"/>
      <c r="E29" s="112"/>
      <c r="F29" s="112"/>
      <c r="G29" s="112"/>
      <c r="I29" s="112"/>
      <c r="J29" s="112"/>
      <c r="K29" s="112"/>
      <c r="L29" s="112"/>
      <c r="N29" s="1001"/>
      <c r="O29" s="1109"/>
      <c r="P29" s="1109"/>
      <c r="Q29" s="1109"/>
      <c r="R29" s="1109"/>
      <c r="S29" s="1109"/>
      <c r="T29" s="1109"/>
      <c r="U29" s="353"/>
    </row>
    <row r="30" spans="1:25" s="352" customFormat="1" ht="20.45" customHeight="1" thickBot="1" x14ac:dyDescent="0.25">
      <c r="A30" s="617"/>
      <c r="B30" s="618"/>
      <c r="C30" s="618"/>
      <c r="D30" s="618"/>
      <c r="E30" s="618"/>
      <c r="F30" s="618"/>
      <c r="G30" s="1081"/>
      <c r="H30" s="614"/>
      <c r="I30" s="618"/>
      <c r="J30" s="618"/>
      <c r="K30" s="618"/>
      <c r="L30" s="614"/>
      <c r="M30" s="612"/>
      <c r="N30" s="1002"/>
      <c r="O30" s="1112"/>
      <c r="P30" s="1112"/>
      <c r="Q30" s="1109"/>
      <c r="R30" s="1109"/>
      <c r="S30" s="1109"/>
      <c r="T30" s="1109"/>
      <c r="U30" s="353"/>
    </row>
    <row r="31" spans="1:25" s="355" customFormat="1" ht="59.45" customHeight="1" x14ac:dyDescent="0.2">
      <c r="A31" s="1262" t="s">
        <v>206</v>
      </c>
      <c r="B31" s="1262" t="s">
        <v>88</v>
      </c>
      <c r="C31" s="1253" t="s">
        <v>40</v>
      </c>
      <c r="D31" s="1253" t="s">
        <v>134</v>
      </c>
      <c r="E31" s="1253" t="s">
        <v>83</v>
      </c>
      <c r="F31" s="1253" t="s">
        <v>614</v>
      </c>
      <c r="G31" s="1253" t="s">
        <v>85</v>
      </c>
      <c r="H31" s="536"/>
      <c r="I31" s="1253" t="s">
        <v>22</v>
      </c>
      <c r="J31" s="1253" t="s">
        <v>137</v>
      </c>
      <c r="K31" s="1253" t="s">
        <v>138</v>
      </c>
      <c r="L31" s="1253" t="s">
        <v>614</v>
      </c>
      <c r="M31" s="1263"/>
      <c r="N31" s="1264"/>
      <c r="O31" s="1265" t="s">
        <v>356</v>
      </c>
      <c r="P31" s="1113"/>
      <c r="Q31" s="1114"/>
      <c r="R31" s="1114"/>
      <c r="S31" s="1114"/>
      <c r="T31" s="1114"/>
      <c r="U31" s="1115"/>
    </row>
    <row r="32" spans="1:25" s="352" customFormat="1" ht="30" hidden="1" x14ac:dyDescent="0.2">
      <c r="A32" s="1266" t="s">
        <v>400</v>
      </c>
      <c r="B32" s="1266" t="s">
        <v>337</v>
      </c>
      <c r="C32" s="1258" t="s">
        <v>386</v>
      </c>
      <c r="D32" s="1062" t="s">
        <v>388</v>
      </c>
      <c r="E32" s="1258">
        <f>IFERROR(C32-D32,0)</f>
        <v>0</v>
      </c>
      <c r="F32" s="1259" t="e">
        <f t="shared" ref="F32:F37" si="4">IF(AND(C32=0,D32=0),"N/A",IF(AND(C32=0,D32&lt;&gt;0),"Not Budgeted",D32/C32))</f>
        <v>#VALUE!</v>
      </c>
      <c r="G32" s="1267"/>
      <c r="H32" s="536"/>
      <c r="I32" s="1258" t="s">
        <v>387</v>
      </c>
      <c r="J32" s="1062" t="s">
        <v>389</v>
      </c>
      <c r="K32" s="1258">
        <f>IFERROR(I32-J32,0)</f>
        <v>0</v>
      </c>
      <c r="L32" s="1259" t="e">
        <f t="shared" ref="L32:L37" si="5">IF(AND(I32=0,J32=0),"N/A",IF(AND(I32=0,J32&lt;&gt;0),"Not Budgeted",J32/I32))</f>
        <v>#VALUE!</v>
      </c>
      <c r="M32" s="1254"/>
      <c r="N32" s="1255"/>
      <c r="O32" s="1256" t="s">
        <v>355</v>
      </c>
      <c r="P32" s="1112"/>
      <c r="Q32" s="1109"/>
      <c r="R32" s="1109"/>
      <c r="S32" s="1109"/>
      <c r="T32" s="1109"/>
      <c r="U32" s="353"/>
    </row>
    <row r="33" spans="1:21" s="352" customFormat="1" ht="105" x14ac:dyDescent="0.2">
      <c r="A33" s="1266" t="s">
        <v>1018</v>
      </c>
      <c r="B33" s="1266" t="s">
        <v>1090</v>
      </c>
      <c r="C33" s="1258">
        <v>1146842.32</v>
      </c>
      <c r="D33" s="1062">
        <v>1523698.3598440785</v>
      </c>
      <c r="E33" s="1258">
        <f t="shared" ref="E33:E37" si="6">IFERROR(C33-D33,0)</f>
        <v>-376856.03984407848</v>
      </c>
      <c r="F33" s="1259">
        <f t="shared" si="4"/>
        <v>1.3286031856969478</v>
      </c>
      <c r="G33" s="1267" t="s">
        <v>1623</v>
      </c>
      <c r="H33" s="536"/>
      <c r="I33" s="1258">
        <v>4212598.32</v>
      </c>
      <c r="J33" s="1062">
        <v>3305336.1110194344</v>
      </c>
      <c r="K33" s="1258">
        <f t="shared" ref="K33:K37" si="7">IFERROR(I33-J33,0)</f>
        <v>907262.20898056589</v>
      </c>
      <c r="L33" s="1259">
        <f t="shared" si="5"/>
        <v>0.78463120856474966</v>
      </c>
      <c r="M33" s="1254"/>
      <c r="N33" s="1255"/>
      <c r="O33" s="1256" t="s">
        <v>1091</v>
      </c>
      <c r="P33" s="1112"/>
      <c r="Q33" s="1109"/>
      <c r="R33" s="1109"/>
      <c r="S33" s="1109"/>
      <c r="T33" s="1109"/>
      <c r="U33" s="353"/>
    </row>
    <row r="34" spans="1:21" s="352" customFormat="1" ht="75" x14ac:dyDescent="0.2">
      <c r="A34" s="1266" t="s">
        <v>1018</v>
      </c>
      <c r="B34" s="1266" t="s">
        <v>1092</v>
      </c>
      <c r="C34" s="1258">
        <v>106830</v>
      </c>
      <c r="D34" s="1062">
        <v>329997.16007467377</v>
      </c>
      <c r="E34" s="1258">
        <f t="shared" si="6"/>
        <v>-223167.16007467377</v>
      </c>
      <c r="F34" s="1259">
        <f t="shared" si="4"/>
        <v>3.0889933546257957</v>
      </c>
      <c r="G34" s="1267" t="s">
        <v>1625</v>
      </c>
      <c r="H34" s="536"/>
      <c r="I34" s="1258">
        <v>947490</v>
      </c>
      <c r="J34" s="1062">
        <v>818527.86848697497</v>
      </c>
      <c r="K34" s="1258">
        <f t="shared" si="7"/>
        <v>128962.13151302503</v>
      </c>
      <c r="L34" s="1259">
        <f t="shared" si="5"/>
        <v>0.86389077297594163</v>
      </c>
      <c r="M34" s="1254"/>
      <c r="N34" s="1255"/>
      <c r="O34" s="1256" t="s">
        <v>1093</v>
      </c>
      <c r="P34" s="1112"/>
      <c r="Q34" s="1109"/>
      <c r="R34" s="1109"/>
      <c r="S34" s="1109"/>
      <c r="T34" s="1109"/>
      <c r="U34" s="353"/>
    </row>
    <row r="35" spans="1:21" s="352" customFormat="1" ht="60" x14ac:dyDescent="0.2">
      <c r="A35" s="1266" t="s">
        <v>1012</v>
      </c>
      <c r="B35" s="1266" t="s">
        <v>1094</v>
      </c>
      <c r="C35" s="1258">
        <v>114923.96</v>
      </c>
      <c r="D35" s="1062">
        <v>319949.41770138242</v>
      </c>
      <c r="E35" s="1258">
        <f t="shared" si="6"/>
        <v>-205025.4577013824</v>
      </c>
      <c r="F35" s="1259">
        <f t="shared" si="4"/>
        <v>2.7840096851986513</v>
      </c>
      <c r="G35" s="1267" t="s">
        <v>1622</v>
      </c>
      <c r="H35" s="536"/>
      <c r="I35" s="1258">
        <v>2275731.96</v>
      </c>
      <c r="J35" s="1062">
        <v>1789589.0285172905</v>
      </c>
      <c r="K35" s="1258">
        <f t="shared" si="7"/>
        <v>486142.93148270948</v>
      </c>
      <c r="L35" s="1259">
        <f t="shared" si="5"/>
        <v>0.78637952973920988</v>
      </c>
      <c r="M35" s="1254"/>
      <c r="N35" s="1255"/>
      <c r="O35" s="1256" t="s">
        <v>1095</v>
      </c>
      <c r="P35" s="1112"/>
      <c r="Q35" s="1109"/>
      <c r="R35" s="1109"/>
      <c r="S35" s="1109"/>
      <c r="T35" s="1109"/>
      <c r="U35" s="353"/>
    </row>
    <row r="36" spans="1:21" s="352" customFormat="1" ht="105" x14ac:dyDescent="0.2">
      <c r="A36" s="1266" t="s">
        <v>1006</v>
      </c>
      <c r="B36" s="1266" t="s">
        <v>1096</v>
      </c>
      <c r="C36" s="1258">
        <v>9720</v>
      </c>
      <c r="D36" s="1062">
        <v>136352.11780385673</v>
      </c>
      <c r="E36" s="1258">
        <f t="shared" si="6"/>
        <v>-126632.11780385673</v>
      </c>
      <c r="F36" s="1259">
        <f t="shared" si="4"/>
        <v>14.027995658832998</v>
      </c>
      <c r="G36" s="1267" t="s">
        <v>1624</v>
      </c>
      <c r="H36" s="536"/>
      <c r="I36" s="1258">
        <v>110910.1</v>
      </c>
      <c r="J36" s="1062">
        <v>207149.95780385673</v>
      </c>
      <c r="K36" s="1258">
        <f t="shared" si="7"/>
        <v>-96239.857803856721</v>
      </c>
      <c r="L36" s="1259">
        <f t="shared" si="5"/>
        <v>1.8677285279145606</v>
      </c>
      <c r="M36" s="1254"/>
      <c r="N36" s="1255"/>
      <c r="O36" s="1256" t="s">
        <v>1097</v>
      </c>
      <c r="P36" s="1112"/>
      <c r="Q36" s="1109"/>
      <c r="R36" s="1109"/>
      <c r="S36" s="1109"/>
      <c r="T36" s="1109"/>
      <c r="U36" s="353"/>
    </row>
    <row r="37" spans="1:21" s="352" customFormat="1" ht="105" x14ac:dyDescent="0.2">
      <c r="A37" s="1266" t="s">
        <v>1098</v>
      </c>
      <c r="B37" s="1266" t="s">
        <v>1099</v>
      </c>
      <c r="C37" s="1258">
        <v>277278.84000000003</v>
      </c>
      <c r="D37" s="1062">
        <v>311880.32781629747</v>
      </c>
      <c r="E37" s="1258">
        <f t="shared" si="6"/>
        <v>-34601.487816297449</v>
      </c>
      <c r="F37" s="1259">
        <f t="shared" si="4"/>
        <v>1.1247895000437014</v>
      </c>
      <c r="G37" s="1267" t="s">
        <v>1623</v>
      </c>
      <c r="H37" s="536"/>
      <c r="I37" s="1258">
        <v>774991.81</v>
      </c>
      <c r="J37" s="1062">
        <v>785562.1102455951</v>
      </c>
      <c r="K37" s="1258">
        <f t="shared" si="7"/>
        <v>-10570.300245595048</v>
      </c>
      <c r="L37" s="1259">
        <f t="shared" si="5"/>
        <v>1.0136392412270718</v>
      </c>
      <c r="M37" s="1254"/>
      <c r="N37" s="1255"/>
      <c r="O37" s="1256" t="s">
        <v>1100</v>
      </c>
      <c r="P37" s="1112"/>
      <c r="Q37" s="1109"/>
      <c r="R37" s="1109"/>
      <c r="S37" s="1109"/>
      <c r="T37" s="1109"/>
      <c r="U37" s="353"/>
    </row>
    <row r="38" spans="1:21" s="352" customFormat="1" ht="15" hidden="1" customHeight="1" x14ac:dyDescent="0.2">
      <c r="A38" s="1332"/>
      <c r="B38" s="1332"/>
      <c r="C38" s="1333"/>
      <c r="D38" s="1333"/>
      <c r="E38" s="1334"/>
      <c r="F38" s="1335"/>
      <c r="G38" s="1336"/>
      <c r="H38" s="995"/>
      <c r="I38" s="1333"/>
      <c r="J38" s="1333"/>
      <c r="K38" s="1334"/>
      <c r="L38" s="1335"/>
      <c r="M38" s="1254"/>
      <c r="N38" s="1255"/>
      <c r="O38" s="1256" t="s">
        <v>577</v>
      </c>
      <c r="P38" s="1256"/>
      <c r="Q38" s="1256" t="s">
        <v>356</v>
      </c>
      <c r="R38" s="1109"/>
      <c r="S38" s="1109"/>
      <c r="T38" s="1109"/>
      <c r="U38" s="353"/>
    </row>
    <row r="39" spans="1:21" s="352" customFormat="1" ht="21" hidden="1" customHeight="1" x14ac:dyDescent="0.2">
      <c r="A39" s="1337" t="s">
        <v>400</v>
      </c>
      <c r="B39" s="1337" t="s">
        <v>337</v>
      </c>
      <c r="C39" s="1258" t="s">
        <v>386</v>
      </c>
      <c r="D39" s="1062" t="s">
        <v>388</v>
      </c>
      <c r="E39" s="1258">
        <f>IFERROR(C39-D39,0)</f>
        <v>0</v>
      </c>
      <c r="F39" s="1258" t="e">
        <f>IF(AND(C39=0,D39=0),"N/A",IF(AND(C39=0,D39&lt;&gt;0),"Not Budgeted",D39/C39))</f>
        <v>#VALUE!</v>
      </c>
      <c r="G39" s="1267"/>
      <c r="H39" s="1258"/>
      <c r="I39" s="1258" t="s">
        <v>387</v>
      </c>
      <c r="J39" s="1062" t="s">
        <v>389</v>
      </c>
      <c r="K39" s="1258">
        <f>IFERROR(I39-J39,0)</f>
        <v>0</v>
      </c>
      <c r="L39" s="1258" t="e">
        <f>IF(AND(I39=0,J39=0),"N/A",IF(AND(I39=0,J39&lt;&gt;0),"Not Budgeted",J39/I39))</f>
        <v>#VALUE!</v>
      </c>
      <c r="M39" s="1254"/>
      <c r="N39" s="1255"/>
      <c r="O39" s="1256" t="str">
        <f>IFERROR(IF(VLOOKUP(A39,'Reference Records'!$B$12:$D$25,3,FALSE)=0,"",VLOOKUP(A39,'Reference Records'!$B$12:$D$25,3,FALSE)),"")</f>
        <v/>
      </c>
      <c r="P39" s="1256"/>
      <c r="Q39" s="1256" t="s">
        <v>355</v>
      </c>
      <c r="R39" s="1109"/>
      <c r="S39" s="1109"/>
      <c r="T39" s="1109"/>
      <c r="U39" s="353"/>
    </row>
    <row r="40" spans="1:21" s="352" customFormat="1" ht="21" hidden="1" customHeight="1" x14ac:dyDescent="0.2">
      <c r="A40" s="1337"/>
      <c r="B40" s="1337"/>
      <c r="C40" s="1258">
        <v>0</v>
      </c>
      <c r="D40" s="1062"/>
      <c r="E40" s="1258">
        <f t="shared" ref="E40:E54" si="8">IFERROR(C40-D40,0)</f>
        <v>0</v>
      </c>
      <c r="F40" s="1258" t="str">
        <f t="shared" ref="F40:F54" si="9">IF(AND(C40=0,D40=0),"N/A",IF(AND(C40=0,D40&lt;&gt;0),"Not Budgeted",D40/C40))</f>
        <v>N/A</v>
      </c>
      <c r="G40" s="1267"/>
      <c r="H40" s="1258"/>
      <c r="I40" s="1258">
        <v>0</v>
      </c>
      <c r="J40" s="1062"/>
      <c r="K40" s="1258">
        <f t="shared" ref="K40:K54" si="10">IFERROR(I40-J40,0)</f>
        <v>0</v>
      </c>
      <c r="L40" s="1258" t="str">
        <f t="shared" ref="L40:L54" si="11">IF(AND(I40=0,J40=0),"N/A",IF(AND(I40=0,J40&lt;&gt;0),"Not Budgeted",J40/I40))</f>
        <v>N/A</v>
      </c>
      <c r="M40" s="1254"/>
      <c r="N40" s="1255"/>
      <c r="O40" s="1256" t="str">
        <f>IFERROR(IF(VLOOKUP(A40,'Reference Records'!$B$12:$D$25,3,FALSE)=0,"",VLOOKUP(A40,'Reference Records'!$B$12:$D$25,3,FALSE)),"")</f>
        <v/>
      </c>
      <c r="P40" s="1256"/>
      <c r="Q40" s="1256" t="s">
        <v>1410</v>
      </c>
      <c r="R40" s="1109"/>
      <c r="S40" s="1109"/>
      <c r="T40" s="1109"/>
      <c r="U40" s="353"/>
    </row>
    <row r="41" spans="1:21" s="352" customFormat="1" ht="21" hidden="1" customHeight="1" x14ac:dyDescent="0.2">
      <c r="A41" s="1337"/>
      <c r="B41" s="1337"/>
      <c r="C41" s="1258">
        <v>0</v>
      </c>
      <c r="D41" s="1062"/>
      <c r="E41" s="1258">
        <f t="shared" si="8"/>
        <v>0</v>
      </c>
      <c r="F41" s="1258" t="str">
        <f t="shared" si="9"/>
        <v>N/A</v>
      </c>
      <c r="G41" s="1267"/>
      <c r="H41" s="1258"/>
      <c r="I41" s="1258">
        <v>0</v>
      </c>
      <c r="J41" s="1062"/>
      <c r="K41" s="1258">
        <f t="shared" si="10"/>
        <v>0</v>
      </c>
      <c r="L41" s="1258" t="str">
        <f t="shared" si="11"/>
        <v>N/A</v>
      </c>
      <c r="M41" s="1254"/>
      <c r="N41" s="1255"/>
      <c r="O41" s="1256" t="str">
        <f>IFERROR(IF(VLOOKUP(A41,'Reference Records'!$B$12:$D$25,3,FALSE)=0,"",VLOOKUP(A41,'Reference Records'!$B$12:$D$25,3,FALSE)),"")</f>
        <v/>
      </c>
      <c r="P41" s="1256"/>
      <c r="Q41" s="1256" t="s">
        <v>1411</v>
      </c>
      <c r="R41" s="1109"/>
      <c r="S41" s="1109"/>
      <c r="T41" s="1109"/>
      <c r="U41" s="353"/>
    </row>
    <row r="42" spans="1:21" s="352" customFormat="1" ht="21" hidden="1" customHeight="1" x14ac:dyDescent="0.2">
      <c r="A42" s="1337"/>
      <c r="B42" s="1337"/>
      <c r="C42" s="1258">
        <v>0</v>
      </c>
      <c r="D42" s="1062"/>
      <c r="E42" s="1258">
        <f t="shared" si="8"/>
        <v>0</v>
      </c>
      <c r="F42" s="1258" t="str">
        <f t="shared" si="9"/>
        <v>N/A</v>
      </c>
      <c r="G42" s="1267"/>
      <c r="H42" s="1258"/>
      <c r="I42" s="1258">
        <v>0</v>
      </c>
      <c r="J42" s="1062"/>
      <c r="K42" s="1258">
        <f t="shared" si="10"/>
        <v>0</v>
      </c>
      <c r="L42" s="1258" t="str">
        <f t="shared" si="11"/>
        <v>N/A</v>
      </c>
      <c r="M42" s="1254"/>
      <c r="N42" s="1255"/>
      <c r="O42" s="1256" t="str">
        <f>IFERROR(IF(VLOOKUP(A42,'Reference Records'!$B$12:$D$25,3,FALSE)=0,"",VLOOKUP(A42,'Reference Records'!$B$12:$D$25,3,FALSE)),"")</f>
        <v/>
      </c>
      <c r="P42" s="1256"/>
      <c r="Q42" s="1256" t="s">
        <v>1412</v>
      </c>
      <c r="R42" s="1109"/>
      <c r="S42" s="1109"/>
      <c r="T42" s="1109"/>
      <c r="U42" s="353"/>
    </row>
    <row r="43" spans="1:21" s="352" customFormat="1" ht="21" hidden="1" customHeight="1" x14ac:dyDescent="0.2">
      <c r="A43" s="1337"/>
      <c r="B43" s="1337"/>
      <c r="C43" s="1258">
        <v>0</v>
      </c>
      <c r="D43" s="1062"/>
      <c r="E43" s="1258">
        <f t="shared" si="8"/>
        <v>0</v>
      </c>
      <c r="F43" s="1258" t="str">
        <f t="shared" si="9"/>
        <v>N/A</v>
      </c>
      <c r="G43" s="1267"/>
      <c r="H43" s="1258"/>
      <c r="I43" s="1258">
        <v>0</v>
      </c>
      <c r="J43" s="1062"/>
      <c r="K43" s="1258">
        <f t="shared" si="10"/>
        <v>0</v>
      </c>
      <c r="L43" s="1258" t="str">
        <f t="shared" si="11"/>
        <v>N/A</v>
      </c>
      <c r="M43" s="1254"/>
      <c r="N43" s="1255"/>
      <c r="O43" s="1256" t="str">
        <f>IFERROR(IF(VLOOKUP(A43,'Reference Records'!$B$12:$D$25,3,FALSE)=0,"",VLOOKUP(A43,'Reference Records'!$B$12:$D$25,3,FALSE)),"")</f>
        <v/>
      </c>
      <c r="P43" s="1256"/>
      <c r="Q43" s="1256" t="s">
        <v>1413</v>
      </c>
      <c r="R43" s="1109"/>
      <c r="S43" s="1109"/>
      <c r="T43" s="1109"/>
      <c r="U43" s="353"/>
    </row>
    <row r="44" spans="1:21" s="352" customFormat="1" ht="21" hidden="1" customHeight="1" x14ac:dyDescent="0.2">
      <c r="A44" s="1337"/>
      <c r="B44" s="1337"/>
      <c r="C44" s="1258">
        <v>0</v>
      </c>
      <c r="D44" s="1062"/>
      <c r="E44" s="1258">
        <f t="shared" si="8"/>
        <v>0</v>
      </c>
      <c r="F44" s="1258" t="str">
        <f t="shared" si="9"/>
        <v>N/A</v>
      </c>
      <c r="G44" s="1267"/>
      <c r="H44" s="1258"/>
      <c r="I44" s="1258">
        <v>0</v>
      </c>
      <c r="J44" s="1062"/>
      <c r="K44" s="1258">
        <f t="shared" si="10"/>
        <v>0</v>
      </c>
      <c r="L44" s="1258" t="str">
        <f t="shared" si="11"/>
        <v>N/A</v>
      </c>
      <c r="M44" s="1254"/>
      <c r="N44" s="1255"/>
      <c r="O44" s="1256" t="str">
        <f>IFERROR(IF(VLOOKUP(A44,'Reference Records'!$B$12:$D$25,3,FALSE)=0,"",VLOOKUP(A44,'Reference Records'!$B$12:$D$25,3,FALSE)),"")</f>
        <v/>
      </c>
      <c r="P44" s="1256"/>
      <c r="Q44" s="1256" t="s">
        <v>1414</v>
      </c>
      <c r="R44" s="1109"/>
      <c r="S44" s="1109"/>
      <c r="T44" s="1109"/>
      <c r="U44" s="353"/>
    </row>
    <row r="45" spans="1:21" s="352" customFormat="1" ht="21" hidden="1" customHeight="1" x14ac:dyDescent="0.2">
      <c r="A45" s="1337"/>
      <c r="B45" s="1337"/>
      <c r="C45" s="1258">
        <v>0</v>
      </c>
      <c r="D45" s="1062"/>
      <c r="E45" s="1258">
        <f t="shared" si="8"/>
        <v>0</v>
      </c>
      <c r="F45" s="1258" t="str">
        <f t="shared" si="9"/>
        <v>N/A</v>
      </c>
      <c r="G45" s="1267"/>
      <c r="H45" s="1258"/>
      <c r="I45" s="1258">
        <v>0</v>
      </c>
      <c r="J45" s="1062"/>
      <c r="K45" s="1258">
        <f t="shared" si="10"/>
        <v>0</v>
      </c>
      <c r="L45" s="1258" t="str">
        <f t="shared" si="11"/>
        <v>N/A</v>
      </c>
      <c r="M45" s="1254"/>
      <c r="N45" s="1255"/>
      <c r="O45" s="1256" t="str">
        <f>IFERROR(IF(VLOOKUP(A45,'Reference Records'!$B$12:$D$25,3,FALSE)=0,"",VLOOKUP(A45,'Reference Records'!$B$12:$D$25,3,FALSE)),"")</f>
        <v/>
      </c>
      <c r="P45" s="1256"/>
      <c r="Q45" s="1256" t="s">
        <v>1415</v>
      </c>
      <c r="R45" s="1109"/>
      <c r="S45" s="1109"/>
      <c r="T45" s="1109"/>
      <c r="U45" s="353"/>
    </row>
    <row r="46" spans="1:21" s="352" customFormat="1" ht="21" hidden="1" customHeight="1" x14ac:dyDescent="0.2">
      <c r="A46" s="1337"/>
      <c r="B46" s="1337"/>
      <c r="C46" s="1258">
        <v>0</v>
      </c>
      <c r="D46" s="1062"/>
      <c r="E46" s="1258">
        <f t="shared" si="8"/>
        <v>0</v>
      </c>
      <c r="F46" s="1258" t="str">
        <f t="shared" si="9"/>
        <v>N/A</v>
      </c>
      <c r="G46" s="1267"/>
      <c r="H46" s="1258"/>
      <c r="I46" s="1258">
        <v>0</v>
      </c>
      <c r="J46" s="1062"/>
      <c r="K46" s="1258">
        <f t="shared" si="10"/>
        <v>0</v>
      </c>
      <c r="L46" s="1258" t="str">
        <f t="shared" si="11"/>
        <v>N/A</v>
      </c>
      <c r="M46" s="1254"/>
      <c r="N46" s="1255"/>
      <c r="O46" s="1256" t="str">
        <f>IFERROR(IF(VLOOKUP(A46,'Reference Records'!$B$12:$D$25,3,FALSE)=0,"",VLOOKUP(A46,'Reference Records'!$B$12:$D$25,3,FALSE)),"")</f>
        <v/>
      </c>
      <c r="P46" s="1256"/>
      <c r="Q46" s="1256" t="s">
        <v>1416</v>
      </c>
      <c r="R46" s="1109"/>
      <c r="S46" s="1109"/>
      <c r="T46" s="1109"/>
      <c r="U46" s="353"/>
    </row>
    <row r="47" spans="1:21" s="352" customFormat="1" ht="21" hidden="1" customHeight="1" x14ac:dyDescent="0.2">
      <c r="A47" s="1337"/>
      <c r="B47" s="1337"/>
      <c r="C47" s="1258">
        <v>0</v>
      </c>
      <c r="D47" s="1062"/>
      <c r="E47" s="1258">
        <f t="shared" si="8"/>
        <v>0</v>
      </c>
      <c r="F47" s="1258" t="str">
        <f t="shared" si="9"/>
        <v>N/A</v>
      </c>
      <c r="G47" s="1267"/>
      <c r="H47" s="1258"/>
      <c r="I47" s="1258">
        <v>0</v>
      </c>
      <c r="J47" s="1062"/>
      <c r="K47" s="1258">
        <f t="shared" si="10"/>
        <v>0</v>
      </c>
      <c r="L47" s="1258" t="str">
        <f t="shared" si="11"/>
        <v>N/A</v>
      </c>
      <c r="M47" s="1254"/>
      <c r="N47" s="1255"/>
      <c r="O47" s="1256" t="str">
        <f>IFERROR(IF(VLOOKUP(A47,'Reference Records'!$B$12:$D$25,3,FALSE)=0,"",VLOOKUP(A47,'Reference Records'!$B$12:$D$25,3,FALSE)),"")</f>
        <v/>
      </c>
      <c r="P47" s="1256"/>
      <c r="Q47" s="1256" t="s">
        <v>1417</v>
      </c>
      <c r="R47" s="1109"/>
      <c r="S47" s="1109"/>
      <c r="T47" s="1109"/>
      <c r="U47" s="353"/>
    </row>
    <row r="48" spans="1:21" s="352" customFormat="1" ht="21" hidden="1" customHeight="1" x14ac:dyDescent="0.2">
      <c r="A48" s="1337"/>
      <c r="B48" s="1337"/>
      <c r="C48" s="1258">
        <v>0</v>
      </c>
      <c r="D48" s="1062"/>
      <c r="E48" s="1258">
        <f t="shared" si="8"/>
        <v>0</v>
      </c>
      <c r="F48" s="1258" t="str">
        <f t="shared" si="9"/>
        <v>N/A</v>
      </c>
      <c r="G48" s="1267"/>
      <c r="H48" s="1258"/>
      <c r="I48" s="1258">
        <v>0</v>
      </c>
      <c r="J48" s="1062"/>
      <c r="K48" s="1258">
        <f t="shared" si="10"/>
        <v>0</v>
      </c>
      <c r="L48" s="1258" t="str">
        <f t="shared" si="11"/>
        <v>N/A</v>
      </c>
      <c r="M48" s="1254"/>
      <c r="N48" s="1255"/>
      <c r="O48" s="1256" t="str">
        <f>IFERROR(IF(VLOOKUP(A48,'Reference Records'!$B$12:$D$25,3,FALSE)=0,"",VLOOKUP(A48,'Reference Records'!$B$12:$D$25,3,FALSE)),"")</f>
        <v/>
      </c>
      <c r="P48" s="1256"/>
      <c r="Q48" s="1256" t="s">
        <v>1418</v>
      </c>
      <c r="R48" s="1109"/>
      <c r="S48" s="1109"/>
      <c r="T48" s="1109"/>
      <c r="U48" s="353"/>
    </row>
    <row r="49" spans="1:31" s="352" customFormat="1" ht="21" hidden="1" customHeight="1" x14ac:dyDescent="0.2">
      <c r="A49" s="1337"/>
      <c r="B49" s="1337"/>
      <c r="C49" s="1258">
        <v>0</v>
      </c>
      <c r="D49" s="1062"/>
      <c r="E49" s="1258">
        <f t="shared" si="8"/>
        <v>0</v>
      </c>
      <c r="F49" s="1258" t="str">
        <f t="shared" si="9"/>
        <v>N/A</v>
      </c>
      <c r="G49" s="1267"/>
      <c r="H49" s="1258"/>
      <c r="I49" s="1258">
        <v>0</v>
      </c>
      <c r="J49" s="1062"/>
      <c r="K49" s="1258">
        <f t="shared" si="10"/>
        <v>0</v>
      </c>
      <c r="L49" s="1258" t="str">
        <f t="shared" si="11"/>
        <v>N/A</v>
      </c>
      <c r="M49" s="1254"/>
      <c r="N49" s="1255"/>
      <c r="O49" s="1256" t="str">
        <f>IFERROR(IF(VLOOKUP(A49,'Reference Records'!$B$12:$D$25,3,FALSE)=0,"",VLOOKUP(A49,'Reference Records'!$B$12:$D$25,3,FALSE)),"")</f>
        <v/>
      </c>
      <c r="P49" s="1256"/>
      <c r="Q49" s="1256" t="s">
        <v>1419</v>
      </c>
      <c r="R49" s="1109"/>
      <c r="S49" s="1109"/>
      <c r="T49" s="1109"/>
      <c r="U49" s="353"/>
    </row>
    <row r="50" spans="1:31" s="352" customFormat="1" ht="21" hidden="1" customHeight="1" x14ac:dyDescent="0.2">
      <c r="A50" s="1337"/>
      <c r="B50" s="1337"/>
      <c r="C50" s="1258">
        <v>0</v>
      </c>
      <c r="D50" s="1062"/>
      <c r="E50" s="1258">
        <f t="shared" si="8"/>
        <v>0</v>
      </c>
      <c r="F50" s="1258" t="str">
        <f t="shared" si="9"/>
        <v>N/A</v>
      </c>
      <c r="G50" s="1267"/>
      <c r="H50" s="1258"/>
      <c r="I50" s="1258">
        <v>0</v>
      </c>
      <c r="J50" s="1062"/>
      <c r="K50" s="1258">
        <f t="shared" si="10"/>
        <v>0</v>
      </c>
      <c r="L50" s="1258" t="str">
        <f t="shared" si="11"/>
        <v>N/A</v>
      </c>
      <c r="M50" s="1254"/>
      <c r="N50" s="1255"/>
      <c r="O50" s="1256" t="str">
        <f>IFERROR(IF(VLOOKUP(A50,'Reference Records'!$B$12:$D$25,3,FALSE)=0,"",VLOOKUP(A50,'Reference Records'!$B$12:$D$25,3,FALSE)),"")</f>
        <v/>
      </c>
      <c r="P50" s="1256"/>
      <c r="Q50" s="1256" t="s">
        <v>1420</v>
      </c>
      <c r="R50" s="1109"/>
      <c r="S50" s="1109"/>
      <c r="T50" s="1109"/>
      <c r="U50" s="353"/>
    </row>
    <row r="51" spans="1:31" s="352" customFormat="1" ht="21" hidden="1" customHeight="1" x14ac:dyDescent="0.2">
      <c r="A51" s="1337"/>
      <c r="B51" s="1337"/>
      <c r="C51" s="1258">
        <v>0</v>
      </c>
      <c r="D51" s="1062"/>
      <c r="E51" s="1258">
        <f t="shared" si="8"/>
        <v>0</v>
      </c>
      <c r="F51" s="1258" t="str">
        <f t="shared" si="9"/>
        <v>N/A</v>
      </c>
      <c r="G51" s="1267"/>
      <c r="H51" s="1258"/>
      <c r="I51" s="1258">
        <v>0</v>
      </c>
      <c r="J51" s="1062"/>
      <c r="K51" s="1258">
        <f t="shared" si="10"/>
        <v>0</v>
      </c>
      <c r="L51" s="1258" t="str">
        <f t="shared" si="11"/>
        <v>N/A</v>
      </c>
      <c r="M51" s="1254"/>
      <c r="N51" s="1255"/>
      <c r="O51" s="1256" t="str">
        <f>IFERROR(IF(VLOOKUP(A51,'Reference Records'!$B$12:$D$25,3,FALSE)=0,"",VLOOKUP(A51,'Reference Records'!$B$12:$D$25,3,FALSE)),"")</f>
        <v/>
      </c>
      <c r="P51" s="1256"/>
      <c r="Q51" s="1256" t="s">
        <v>1421</v>
      </c>
      <c r="R51" s="1109"/>
      <c r="S51" s="1109"/>
      <c r="T51" s="1109"/>
      <c r="U51" s="353"/>
    </row>
    <row r="52" spans="1:31" s="352" customFormat="1" ht="21" hidden="1" customHeight="1" x14ac:dyDescent="0.2">
      <c r="A52" s="1337"/>
      <c r="B52" s="1337"/>
      <c r="C52" s="1258">
        <v>0</v>
      </c>
      <c r="D52" s="1062"/>
      <c r="E52" s="1258">
        <f t="shared" si="8"/>
        <v>0</v>
      </c>
      <c r="F52" s="1258" t="str">
        <f t="shared" si="9"/>
        <v>N/A</v>
      </c>
      <c r="G52" s="1267"/>
      <c r="H52" s="1258"/>
      <c r="I52" s="1258">
        <v>0</v>
      </c>
      <c r="J52" s="1062"/>
      <c r="K52" s="1258">
        <f t="shared" si="10"/>
        <v>0</v>
      </c>
      <c r="L52" s="1258" t="str">
        <f t="shared" si="11"/>
        <v>N/A</v>
      </c>
      <c r="M52" s="1254"/>
      <c r="N52" s="1255"/>
      <c r="O52" s="1256" t="str">
        <f>IFERROR(IF(VLOOKUP(A52,'Reference Records'!$B$12:$D$25,3,FALSE)=0,"",VLOOKUP(A52,'Reference Records'!$B$12:$D$25,3,FALSE)),"")</f>
        <v/>
      </c>
      <c r="P52" s="1256"/>
      <c r="Q52" s="1256" t="s">
        <v>1422</v>
      </c>
      <c r="R52" s="1109"/>
      <c r="S52" s="1109"/>
      <c r="T52" s="1109"/>
      <c r="U52" s="353"/>
    </row>
    <row r="53" spans="1:31" s="352" customFormat="1" ht="21" hidden="1" customHeight="1" x14ac:dyDescent="0.2">
      <c r="A53" s="1337"/>
      <c r="B53" s="1337"/>
      <c r="C53" s="1258">
        <v>0</v>
      </c>
      <c r="D53" s="1062"/>
      <c r="E53" s="1258">
        <f t="shared" si="8"/>
        <v>0</v>
      </c>
      <c r="F53" s="1258" t="str">
        <f t="shared" si="9"/>
        <v>N/A</v>
      </c>
      <c r="G53" s="1267"/>
      <c r="H53" s="1258"/>
      <c r="I53" s="1258">
        <v>0</v>
      </c>
      <c r="J53" s="1062"/>
      <c r="K53" s="1258">
        <f t="shared" si="10"/>
        <v>0</v>
      </c>
      <c r="L53" s="1258" t="str">
        <f t="shared" si="11"/>
        <v>N/A</v>
      </c>
      <c r="M53" s="1254"/>
      <c r="N53" s="1255"/>
      <c r="O53" s="1256" t="str">
        <f>IFERROR(IF(VLOOKUP(A53,'Reference Records'!$B$12:$D$25,3,FALSE)=0,"",VLOOKUP(A53,'Reference Records'!$B$12:$D$25,3,FALSE)),"")</f>
        <v/>
      </c>
      <c r="P53" s="1256"/>
      <c r="Q53" s="1256" t="s">
        <v>1423</v>
      </c>
      <c r="R53" s="1109"/>
      <c r="S53" s="1109"/>
      <c r="T53" s="1109"/>
      <c r="U53" s="353"/>
    </row>
    <row r="54" spans="1:31" s="352" customFormat="1" ht="21" hidden="1" customHeight="1" x14ac:dyDescent="0.2">
      <c r="A54" s="1337"/>
      <c r="B54" s="1337"/>
      <c r="C54" s="1258">
        <v>0</v>
      </c>
      <c r="D54" s="1062"/>
      <c r="E54" s="1258">
        <f t="shared" si="8"/>
        <v>0</v>
      </c>
      <c r="F54" s="1258" t="str">
        <f t="shared" si="9"/>
        <v>N/A</v>
      </c>
      <c r="G54" s="1267"/>
      <c r="H54" s="1258"/>
      <c r="I54" s="1258">
        <v>0</v>
      </c>
      <c r="J54" s="1062"/>
      <c r="K54" s="1258">
        <f t="shared" si="10"/>
        <v>0</v>
      </c>
      <c r="L54" s="1258" t="str">
        <f t="shared" si="11"/>
        <v>N/A</v>
      </c>
      <c r="M54" s="1254"/>
      <c r="N54" s="1255"/>
      <c r="O54" s="1256" t="str">
        <f>IFERROR(IF(VLOOKUP(A54,'Reference Records'!$B$12:$D$25,3,FALSE)=0,"",VLOOKUP(A54,'Reference Records'!$B$12:$D$25,3,FALSE)),"")</f>
        <v/>
      </c>
      <c r="P54" s="1256"/>
      <c r="Q54" s="1256" t="s">
        <v>1424</v>
      </c>
      <c r="R54" s="1109"/>
      <c r="S54" s="1109"/>
      <c r="T54" s="1109"/>
      <c r="U54" s="353"/>
    </row>
    <row r="55" spans="1:31" hidden="1" x14ac:dyDescent="0.2">
      <c r="N55" s="1006"/>
      <c r="O55" s="1000"/>
      <c r="P55" s="1000"/>
      <c r="Q55" s="1000"/>
      <c r="R55" s="1000"/>
      <c r="S55" s="1000"/>
      <c r="T55" s="1000"/>
      <c r="U55" s="351"/>
    </row>
    <row r="56" spans="1:31" s="352" customFormat="1" ht="26.25" customHeight="1" thickBot="1" x14ac:dyDescent="0.25">
      <c r="A56" s="1715" t="s">
        <v>86</v>
      </c>
      <c r="B56" s="1716"/>
      <c r="C56" s="983">
        <f>ROUND(SUM(C32:C55),2)</f>
        <v>1655595.12</v>
      </c>
      <c r="D56" s="983">
        <f>ROUND(SUM(D32:D55),2)</f>
        <v>2621877.38</v>
      </c>
      <c r="E56" s="983">
        <f>ROUND(SUM(E32:E55),2)</f>
        <v>-966282.26</v>
      </c>
      <c r="F56" s="1010">
        <f>D56/C56</f>
        <v>1.5836464775276697</v>
      </c>
      <c r="G56" s="983"/>
      <c r="H56" s="983"/>
      <c r="I56" s="983">
        <f>ROUND(SUM(I32:I55),2)</f>
        <v>8321722.1900000004</v>
      </c>
      <c r="J56" s="983">
        <f>ROUND(SUM(J32:J55),2)</f>
        <v>6906165.0800000001</v>
      </c>
      <c r="K56" s="983">
        <f>ROUND(SUM(K32:K55),2)</f>
        <v>1415557.11</v>
      </c>
      <c r="L56" s="984">
        <f>J56/I56</f>
        <v>0.82989613475669266</v>
      </c>
      <c r="M56" s="614"/>
      <c r="N56" s="1005"/>
      <c r="O56" s="1112"/>
      <c r="P56" s="1112"/>
      <c r="Q56" s="1109"/>
      <c r="R56" s="1109"/>
      <c r="S56" s="1109"/>
      <c r="T56" s="1109"/>
      <c r="U56" s="353"/>
    </row>
    <row r="57" spans="1:31" x14ac:dyDescent="0.2">
      <c r="N57" s="1006"/>
      <c r="O57" s="1000"/>
      <c r="P57" s="1000"/>
      <c r="Q57" s="1000"/>
      <c r="R57" s="1000"/>
      <c r="S57" s="1000"/>
      <c r="T57" s="1000"/>
      <c r="U57" s="351"/>
    </row>
    <row r="58" spans="1:31" s="352" customFormat="1" ht="15.75" thickBot="1" x14ac:dyDescent="0.25">
      <c r="A58" s="109" t="s">
        <v>268</v>
      </c>
      <c r="B58" s="112"/>
      <c r="C58" s="112"/>
      <c r="D58" s="109"/>
      <c r="E58" s="112"/>
      <c r="F58" s="112"/>
      <c r="G58" s="112"/>
      <c r="H58" s="112"/>
      <c r="I58" s="112"/>
      <c r="J58" s="112"/>
      <c r="K58" s="112"/>
      <c r="L58" s="112"/>
      <c r="N58" s="1001"/>
      <c r="O58" s="1109"/>
      <c r="P58" s="1109"/>
      <c r="Q58" s="1109"/>
      <c r="R58" s="1109"/>
      <c r="S58" s="1109"/>
      <c r="T58" s="1109"/>
      <c r="U58" s="353"/>
    </row>
    <row r="59" spans="1:31" s="352" customFormat="1" ht="18.75" customHeight="1" x14ac:dyDescent="0.2">
      <c r="A59" s="610"/>
      <c r="B59" s="615"/>
      <c r="C59" s="615"/>
      <c r="D59" s="615"/>
      <c r="E59" s="615"/>
      <c r="F59" s="615"/>
      <c r="G59" s="611"/>
      <c r="H59" s="612"/>
      <c r="I59" s="615"/>
      <c r="J59" s="615"/>
      <c r="K59" s="615"/>
      <c r="L59" s="612"/>
      <c r="M59" s="612"/>
      <c r="N59" s="1002"/>
      <c r="O59" s="1112"/>
      <c r="P59" s="1112"/>
      <c r="Q59" s="1109"/>
      <c r="R59" s="1109"/>
      <c r="S59" s="1109"/>
      <c r="T59" s="1109"/>
      <c r="U59" s="353"/>
      <c r="AA59" s="578"/>
      <c r="AB59" s="578"/>
    </row>
    <row r="60" spans="1:31" s="355" customFormat="1" ht="74.45" customHeight="1" x14ac:dyDescent="0.2">
      <c r="A60" s="1262" t="s">
        <v>402</v>
      </c>
      <c r="B60" s="1262" t="s">
        <v>401</v>
      </c>
      <c r="C60" s="1253" t="s">
        <v>40</v>
      </c>
      <c r="D60" s="1253" t="s">
        <v>134</v>
      </c>
      <c r="E60" s="1253" t="s">
        <v>83</v>
      </c>
      <c r="F60" s="1253" t="s">
        <v>614</v>
      </c>
      <c r="G60" s="1253" t="s">
        <v>85</v>
      </c>
      <c r="H60" s="536"/>
      <c r="I60" s="1253" t="s">
        <v>22</v>
      </c>
      <c r="J60" s="1253" t="s">
        <v>137</v>
      </c>
      <c r="K60" s="1253" t="s">
        <v>138</v>
      </c>
      <c r="L60" s="1253" t="s">
        <v>614</v>
      </c>
      <c r="M60" s="1263"/>
      <c r="N60" s="1264"/>
      <c r="O60" s="1265" t="s">
        <v>356</v>
      </c>
      <c r="P60" s="1113" t="e">
        <v>#N/A</v>
      </c>
      <c r="Q60" s="1114"/>
      <c r="R60" s="1114"/>
      <c r="S60" s="1114"/>
      <c r="T60" s="1114"/>
      <c r="U60" s="1115"/>
      <c r="AA60" s="579"/>
      <c r="AB60" s="579"/>
    </row>
    <row r="61" spans="1:31" s="352" customFormat="1" ht="30" hidden="1" x14ac:dyDescent="0.2">
      <c r="A61" s="1266" t="s">
        <v>415</v>
      </c>
      <c r="B61" s="1266" t="s">
        <v>408</v>
      </c>
      <c r="C61" s="1258" t="s">
        <v>386</v>
      </c>
      <c r="D61" s="1062" t="s">
        <v>388</v>
      </c>
      <c r="E61" s="1258">
        <f>IFERROR(C61-D61,0)</f>
        <v>0</v>
      </c>
      <c r="F61" s="1259" t="e">
        <f t="shared" ref="F61:F69" si="12">IF(AND(C61=0,D61=0),"N/A",IF(AND(C61=0,D61&lt;&gt;0),"Not Budgeted",D61/C61))</f>
        <v>#VALUE!</v>
      </c>
      <c r="G61" s="1267"/>
      <c r="H61" s="536"/>
      <c r="I61" s="1258" t="s">
        <v>387</v>
      </c>
      <c r="J61" s="1062" t="s">
        <v>389</v>
      </c>
      <c r="K61" s="1258">
        <f>IFERROR(I61-J61,0)</f>
        <v>0</v>
      </c>
      <c r="L61" s="1259" t="e">
        <f t="shared" ref="L61:L69" si="13">IF(AND(I61=0,J61=0),"N/A",IF(AND(I61=0,J61&lt;&gt;0),"Not Budgeted",J61/I61))</f>
        <v>#VALUE!</v>
      </c>
      <c r="M61" s="1254"/>
      <c r="N61" s="1255"/>
      <c r="O61" s="1256" t="s">
        <v>355</v>
      </c>
      <c r="P61" s="1112"/>
      <c r="Q61" s="1109"/>
      <c r="R61" s="1109"/>
      <c r="S61" s="1109"/>
      <c r="T61" s="1109"/>
      <c r="U61" s="353"/>
      <c r="AA61" s="620"/>
      <c r="AB61" s="621" t="s">
        <v>266</v>
      </c>
      <c r="AC61" s="353"/>
      <c r="AD61" s="353"/>
      <c r="AE61" s="353"/>
    </row>
    <row r="62" spans="1:31" s="352" customFormat="1" ht="90" x14ac:dyDescent="0.2">
      <c r="A62" s="1266" t="s">
        <v>1101</v>
      </c>
      <c r="B62" s="1266" t="s">
        <v>1102</v>
      </c>
      <c r="C62" s="1258">
        <v>118410</v>
      </c>
      <c r="D62" s="1062">
        <v>210240.42</v>
      </c>
      <c r="E62" s="1258">
        <f t="shared" ref="E62:E69" si="14">IFERROR(C62-D62,0)</f>
        <v>-91830.420000000013</v>
      </c>
      <c r="F62" s="1259">
        <f t="shared" si="12"/>
        <v>1.7755292627311883</v>
      </c>
      <c r="G62" s="1267" t="s">
        <v>1626</v>
      </c>
      <c r="H62" s="536"/>
      <c r="I62" s="1258">
        <v>764867</v>
      </c>
      <c r="J62" s="1062">
        <v>499158.21</v>
      </c>
      <c r="K62" s="1258">
        <f t="shared" ref="K62:K69" si="15">IFERROR(I62-J62,0)</f>
        <v>265708.78999999998</v>
      </c>
      <c r="L62" s="1259">
        <f t="shared" si="13"/>
        <v>0.65260785208408789</v>
      </c>
      <c r="M62" s="1254"/>
      <c r="N62" s="1255"/>
      <c r="O62" s="1256" t="s">
        <v>1103</v>
      </c>
      <c r="P62" s="1112"/>
      <c r="Q62" s="1109"/>
      <c r="R62" s="1109"/>
      <c r="S62" s="1109"/>
      <c r="T62" s="1109"/>
      <c r="U62" s="353"/>
      <c r="AA62" s="620"/>
      <c r="AB62" s="621"/>
      <c r="AC62" s="353"/>
      <c r="AD62" s="353"/>
      <c r="AE62" s="353"/>
    </row>
    <row r="63" spans="1:31" s="352" customFormat="1" ht="90" x14ac:dyDescent="0.2">
      <c r="A63" s="1266" t="s">
        <v>1104</v>
      </c>
      <c r="B63" s="1266" t="s">
        <v>1102</v>
      </c>
      <c r="C63" s="1258">
        <v>273220</v>
      </c>
      <c r="D63" s="1062">
        <v>359296.63</v>
      </c>
      <c r="E63" s="1258">
        <f t="shared" si="14"/>
        <v>-86076.63</v>
      </c>
      <c r="F63" s="1259">
        <f t="shared" si="12"/>
        <v>1.3150451284679014</v>
      </c>
      <c r="G63" s="1267" t="s">
        <v>1627</v>
      </c>
      <c r="H63" s="536"/>
      <c r="I63" s="1258">
        <v>746237</v>
      </c>
      <c r="J63" s="1062">
        <v>780951.46</v>
      </c>
      <c r="K63" s="1258">
        <f t="shared" si="15"/>
        <v>-34714.459999999963</v>
      </c>
      <c r="L63" s="1259">
        <f t="shared" si="13"/>
        <v>1.0465193497508163</v>
      </c>
      <c r="M63" s="1254"/>
      <c r="N63" s="1255"/>
      <c r="O63" s="1256" t="s">
        <v>1105</v>
      </c>
      <c r="P63" s="1112"/>
      <c r="Q63" s="1109"/>
      <c r="R63" s="1109"/>
      <c r="S63" s="1109"/>
      <c r="T63" s="1109"/>
      <c r="U63" s="353"/>
      <c r="AA63" s="620"/>
      <c r="AB63" s="621"/>
      <c r="AC63" s="353"/>
      <c r="AD63" s="353"/>
      <c r="AE63" s="353"/>
    </row>
    <row r="64" spans="1:31" s="352" customFormat="1" ht="120" x14ac:dyDescent="0.2">
      <c r="A64" s="1266" t="s">
        <v>1106</v>
      </c>
      <c r="B64" s="1266" t="s">
        <v>1102</v>
      </c>
      <c r="C64" s="1258">
        <v>383761.32</v>
      </c>
      <c r="D64" s="1062">
        <v>315763.31</v>
      </c>
      <c r="E64" s="1258">
        <f t="shared" si="14"/>
        <v>67998.010000000009</v>
      </c>
      <c r="F64" s="1259">
        <f t="shared" si="12"/>
        <v>0.82281171536516495</v>
      </c>
      <c r="G64" s="1267" t="s">
        <v>1630</v>
      </c>
      <c r="H64" s="536"/>
      <c r="I64" s="1258">
        <v>984691.32</v>
      </c>
      <c r="J64" s="1062">
        <v>821002.11</v>
      </c>
      <c r="K64" s="1258">
        <f t="shared" si="15"/>
        <v>163689.20999999996</v>
      </c>
      <c r="L64" s="1259">
        <f t="shared" si="13"/>
        <v>0.83376596637411204</v>
      </c>
      <c r="M64" s="1254"/>
      <c r="N64" s="1255"/>
      <c r="O64" s="1256" t="s">
        <v>1107</v>
      </c>
      <c r="P64" s="1112"/>
      <c r="Q64" s="1109"/>
      <c r="R64" s="1109"/>
      <c r="S64" s="1109"/>
      <c r="T64" s="1109"/>
      <c r="U64" s="353"/>
      <c r="AA64" s="620"/>
      <c r="AB64" s="621"/>
      <c r="AC64" s="353"/>
      <c r="AD64" s="353"/>
      <c r="AE64" s="353"/>
    </row>
    <row r="65" spans="1:31" s="352" customFormat="1" ht="90" x14ac:dyDescent="0.2">
      <c r="A65" s="1266" t="s">
        <v>1108</v>
      </c>
      <c r="B65" s="1266" t="s">
        <v>1102</v>
      </c>
      <c r="C65" s="1258">
        <v>153804</v>
      </c>
      <c r="D65" s="1062">
        <v>159049.91</v>
      </c>
      <c r="E65" s="1258">
        <f t="shared" si="14"/>
        <v>-5245.9100000000035</v>
      </c>
      <c r="F65" s="1259">
        <f t="shared" si="12"/>
        <v>1.0341077605263842</v>
      </c>
      <c r="G65" s="1267" t="s">
        <v>1631</v>
      </c>
      <c r="H65" s="536"/>
      <c r="I65" s="1258">
        <v>431336</v>
      </c>
      <c r="J65" s="1062">
        <v>389886.19</v>
      </c>
      <c r="K65" s="1258">
        <f t="shared" si="15"/>
        <v>41449.81</v>
      </c>
      <c r="L65" s="1259">
        <f t="shared" si="13"/>
        <v>0.90390366211028061</v>
      </c>
      <c r="M65" s="1254"/>
      <c r="N65" s="1255"/>
      <c r="O65" s="1256" t="s">
        <v>1109</v>
      </c>
      <c r="P65" s="1112"/>
      <c r="Q65" s="1109"/>
      <c r="R65" s="1109"/>
      <c r="S65" s="1109"/>
      <c r="T65" s="1109"/>
      <c r="U65" s="353"/>
      <c r="AA65" s="620"/>
      <c r="AB65" s="621"/>
      <c r="AC65" s="353"/>
      <c r="AD65" s="353"/>
      <c r="AE65" s="353"/>
    </row>
    <row r="66" spans="1:31" s="352" customFormat="1" ht="90" x14ac:dyDescent="0.2">
      <c r="A66" s="1266" t="s">
        <v>1110</v>
      </c>
      <c r="B66" s="1266" t="s">
        <v>1102</v>
      </c>
      <c r="C66" s="1258">
        <v>148841</v>
      </c>
      <c r="D66" s="1062">
        <v>135447.6</v>
      </c>
      <c r="E66" s="1258">
        <f t="shared" si="14"/>
        <v>13393.399999999994</v>
      </c>
      <c r="F66" s="1259">
        <f t="shared" si="12"/>
        <v>0.91001538554564942</v>
      </c>
      <c r="G66" s="1267" t="s">
        <v>1629</v>
      </c>
      <c r="H66" s="536"/>
      <c r="I66" s="1258">
        <v>388663</v>
      </c>
      <c r="J66" s="1062">
        <v>342702.79</v>
      </c>
      <c r="K66" s="1258">
        <f t="shared" si="15"/>
        <v>45960.210000000021</v>
      </c>
      <c r="L66" s="1259">
        <f t="shared" si="13"/>
        <v>0.8817479152890807</v>
      </c>
      <c r="M66" s="1254"/>
      <c r="N66" s="1255"/>
      <c r="O66" s="1256" t="s">
        <v>1111</v>
      </c>
      <c r="P66" s="1112"/>
      <c r="Q66" s="1109"/>
      <c r="R66" s="1109"/>
      <c r="S66" s="1109"/>
      <c r="T66" s="1109"/>
      <c r="U66" s="353"/>
      <c r="AA66" s="620"/>
      <c r="AB66" s="621"/>
      <c r="AC66" s="353"/>
      <c r="AD66" s="353"/>
      <c r="AE66" s="353"/>
    </row>
    <row r="67" spans="1:31" s="352" customFormat="1" ht="120" x14ac:dyDescent="0.2">
      <c r="A67" s="1266" t="s">
        <v>964</v>
      </c>
      <c r="B67" s="1266" t="s">
        <v>1112</v>
      </c>
      <c r="C67" s="1258">
        <v>355804.84</v>
      </c>
      <c r="D67" s="1062">
        <f>769080.61+14704.07</f>
        <v>783784.67999999993</v>
      </c>
      <c r="E67" s="1258">
        <f t="shared" si="14"/>
        <v>-427979.83999999991</v>
      </c>
      <c r="F67" s="1259">
        <f t="shared" si="12"/>
        <v>2.2028499668526149</v>
      </c>
      <c r="G67" s="1267" t="s">
        <v>1633</v>
      </c>
      <c r="H67" s="536"/>
      <c r="I67" s="1258">
        <v>1782705.91</v>
      </c>
      <c r="J67" s="1062">
        <v>1455999.11</v>
      </c>
      <c r="K67" s="1258">
        <f t="shared" si="15"/>
        <v>326706.79999999981</v>
      </c>
      <c r="L67" s="1259">
        <f t="shared" si="13"/>
        <v>0.81673544796853237</v>
      </c>
      <c r="M67" s="1254"/>
      <c r="N67" s="1255"/>
      <c r="O67" s="1256" t="s">
        <v>1113</v>
      </c>
      <c r="P67" s="1112"/>
      <c r="Q67" s="1109"/>
      <c r="R67" s="1109"/>
      <c r="S67" s="1109"/>
      <c r="T67" s="1109"/>
      <c r="U67" s="353"/>
      <c r="AA67" s="620"/>
      <c r="AB67" s="621"/>
      <c r="AC67" s="353"/>
      <c r="AD67" s="353"/>
      <c r="AE67" s="353"/>
    </row>
    <row r="68" spans="1:31" s="352" customFormat="1" ht="105" x14ac:dyDescent="0.2">
      <c r="A68" s="1266" t="s">
        <v>1114</v>
      </c>
      <c r="B68" s="1266" t="s">
        <v>1102</v>
      </c>
      <c r="C68" s="1258">
        <v>106830</v>
      </c>
      <c r="D68" s="1062">
        <v>300569.59999999998</v>
      </c>
      <c r="E68" s="1258">
        <f t="shared" si="14"/>
        <v>-193739.59999999998</v>
      </c>
      <c r="F68" s="1259">
        <f t="shared" si="12"/>
        <v>2.8135317794626977</v>
      </c>
      <c r="G68" s="1267" t="s">
        <v>1632</v>
      </c>
      <c r="H68" s="536"/>
      <c r="I68" s="1258">
        <v>947490</v>
      </c>
      <c r="J68" s="1062">
        <v>789100.31</v>
      </c>
      <c r="K68" s="1258">
        <f t="shared" si="15"/>
        <v>158389.68999999994</v>
      </c>
      <c r="L68" s="1259">
        <f t="shared" si="13"/>
        <v>0.83283233596132944</v>
      </c>
      <c r="M68" s="1254"/>
      <c r="N68" s="1255"/>
      <c r="O68" s="1256" t="s">
        <v>1115</v>
      </c>
      <c r="P68" s="1112"/>
      <c r="Q68" s="1109"/>
      <c r="R68" s="1109"/>
      <c r="S68" s="1109"/>
      <c r="T68" s="1109"/>
      <c r="U68" s="353"/>
      <c r="AA68" s="620"/>
      <c r="AB68" s="621"/>
      <c r="AC68" s="353"/>
      <c r="AD68" s="353"/>
      <c r="AE68" s="353"/>
    </row>
    <row r="69" spans="1:31" s="352" customFormat="1" ht="120" x14ac:dyDescent="0.2">
      <c r="A69" s="1266" t="s">
        <v>1116</v>
      </c>
      <c r="B69" s="1266" t="s">
        <v>1102</v>
      </c>
      <c r="C69" s="1258">
        <v>114923.96</v>
      </c>
      <c r="D69" s="1062">
        <f>319949.42+37775.82</f>
        <v>357725.24</v>
      </c>
      <c r="E69" s="1258">
        <f t="shared" si="14"/>
        <v>-242801.27999999997</v>
      </c>
      <c r="F69" s="1259">
        <f t="shared" si="12"/>
        <v>3.1127124404693327</v>
      </c>
      <c r="G69" s="1267" t="s">
        <v>1628</v>
      </c>
      <c r="H69" s="536"/>
      <c r="I69" s="1258">
        <v>2275731.96</v>
      </c>
      <c r="J69" s="1062">
        <f>1789589.03+37775.82</f>
        <v>1827364.85</v>
      </c>
      <c r="K69" s="1258">
        <f t="shared" si="15"/>
        <v>448367.10999999987</v>
      </c>
      <c r="L69" s="1259">
        <f t="shared" si="13"/>
        <v>0.80297894572786166</v>
      </c>
      <c r="M69" s="1254"/>
      <c r="N69" s="1255"/>
      <c r="O69" s="1256" t="s">
        <v>1117</v>
      </c>
      <c r="P69" s="1112"/>
      <c r="Q69" s="1109"/>
      <c r="R69" s="1109"/>
      <c r="S69" s="1109"/>
      <c r="T69" s="1109"/>
      <c r="U69" s="353"/>
      <c r="AA69" s="620"/>
      <c r="AB69" s="621"/>
      <c r="AC69" s="353"/>
      <c r="AD69" s="353"/>
      <c r="AE69" s="353"/>
    </row>
    <row r="70" spans="1:31" s="352" customFormat="1" ht="15" customHeight="1" x14ac:dyDescent="0.2">
      <c r="A70" s="1353"/>
      <c r="B70" s="1353"/>
      <c r="C70" s="589"/>
      <c r="D70" s="589"/>
      <c r="E70" s="590"/>
      <c r="F70" s="591"/>
      <c r="G70" s="939"/>
      <c r="H70" s="594"/>
      <c r="I70" s="589"/>
      <c r="J70" s="589"/>
      <c r="K70" s="590"/>
      <c r="L70" s="591"/>
      <c r="M70" s="613"/>
      <c r="N70" s="1003"/>
      <c r="O70" s="1112"/>
      <c r="P70" s="1112"/>
      <c r="Q70" s="1109"/>
      <c r="R70" s="1109"/>
      <c r="S70" s="1109"/>
      <c r="T70" s="1109"/>
      <c r="U70" s="353"/>
      <c r="AA70" s="620"/>
      <c r="AB70" s="621"/>
      <c r="AC70" s="353"/>
      <c r="AD70" s="353"/>
      <c r="AE70" s="353"/>
    </row>
    <row r="71" spans="1:31" s="352" customFormat="1" ht="27.6" customHeight="1" x14ac:dyDescent="0.2">
      <c r="A71" s="1713" t="s">
        <v>86</v>
      </c>
      <c r="B71" s="1714"/>
      <c r="C71" s="592">
        <f>ROUND(SUM(C61:C70),2)</f>
        <v>1655595.12</v>
      </c>
      <c r="D71" s="592">
        <f t="shared" ref="D71:E71" si="16">ROUND(SUM(D61:D70),2)</f>
        <v>2621877.39</v>
      </c>
      <c r="E71" s="592">
        <f t="shared" si="16"/>
        <v>-966282.27</v>
      </c>
      <c r="F71" s="593">
        <f>D71/C71</f>
        <v>1.5836464835677939</v>
      </c>
      <c r="G71" s="593"/>
      <c r="H71" s="594"/>
      <c r="I71" s="592">
        <f>ROUND(SUM(I61:I70),2)</f>
        <v>8321722.1900000004</v>
      </c>
      <c r="J71" s="592">
        <f t="shared" ref="J71:K71" si="17">ROUND(SUM(J61:J70),2)</f>
        <v>6906165.0300000003</v>
      </c>
      <c r="K71" s="592">
        <f t="shared" si="17"/>
        <v>1415557.16</v>
      </c>
      <c r="L71" s="593">
        <f>J71/I71</f>
        <v>0.82989612874832097</v>
      </c>
      <c r="M71" s="613"/>
      <c r="N71" s="1003"/>
      <c r="O71" s="1112"/>
      <c r="P71" s="1112"/>
      <c r="Q71" s="1109"/>
      <c r="R71" s="1109"/>
      <c r="S71" s="1109"/>
      <c r="T71" s="1109"/>
      <c r="U71" s="353"/>
      <c r="AA71" s="578"/>
      <c r="AB71" s="578"/>
    </row>
    <row r="72" spans="1:31" s="352" customFormat="1" ht="1.35" customHeight="1" thickBot="1" x14ac:dyDescent="0.25">
      <c r="A72" s="617"/>
      <c r="B72" s="618"/>
      <c r="C72" s="618"/>
      <c r="D72" s="618"/>
      <c r="E72" s="618"/>
      <c r="F72" s="618"/>
      <c r="G72" s="618"/>
      <c r="H72" s="614"/>
      <c r="I72" s="618"/>
      <c r="J72" s="618"/>
      <c r="K72" s="618"/>
      <c r="L72" s="618"/>
      <c r="M72" s="614"/>
      <c r="N72" s="1005"/>
      <c r="O72" s="1112"/>
      <c r="P72" s="1112"/>
      <c r="Q72" s="1109"/>
      <c r="R72" s="1109"/>
      <c r="S72" s="1109"/>
      <c r="T72" s="1109"/>
      <c r="U72" s="353"/>
      <c r="AA72" s="578"/>
      <c r="AB72" s="578"/>
    </row>
    <row r="73" spans="1:31" s="352" customFormat="1" x14ac:dyDescent="0.2">
      <c r="N73" s="1001"/>
      <c r="O73" s="1109"/>
      <c r="P73" s="1109"/>
      <c r="Q73" s="1109"/>
      <c r="R73" s="1109"/>
      <c r="S73" s="1109"/>
      <c r="T73" s="1109"/>
      <c r="U73" s="353"/>
      <c r="AA73" s="578"/>
      <c r="AB73" s="578"/>
    </row>
    <row r="74" spans="1:31" s="352" customFormat="1" ht="66.599999999999994" customHeight="1" x14ac:dyDescent="0.2">
      <c r="A74" s="945" t="s">
        <v>89</v>
      </c>
      <c r="C74" s="949" t="str">
        <f>IF(AND(ROUND(C27,0)=ROUND(C56,0),ROUND(C56,0)=ROUND(C71,0)),"OK","WARNING - Sum of the three tables not matching")</f>
        <v>OK</v>
      </c>
      <c r="D74" s="949" t="str">
        <f>IF(AND(ROUND(D27,0)=ROUND(D56,0),ROUND(D56,0)=ROUND(D71,0)),"OK","WARNING - Sum of the three tables not matching")</f>
        <v>OK</v>
      </c>
      <c r="E74" s="950"/>
      <c r="F74" s="950"/>
      <c r="G74" s="950"/>
      <c r="H74" s="951"/>
      <c r="I74" s="949" t="str">
        <f>IF(AND(ROUND(I27,0)=ROUND(I56,0),ROUND(I56,0)=ROUND(I71,0)),"OK","WARNING - Sum of the three tables not matching")</f>
        <v>OK</v>
      </c>
      <c r="J74" s="949" t="str">
        <f>IF(AND(ROUND(J27,0)=ROUND(J56,0),ROUND(J56,0)=ROUND(J71,0)),"OK","WARNING - Sum of the three tables not matching")</f>
        <v>OK</v>
      </c>
      <c r="K74" s="353"/>
      <c r="L74" s="353"/>
      <c r="N74" s="1001"/>
      <c r="O74" s="1109"/>
      <c r="P74" s="1109"/>
      <c r="Q74" s="1109"/>
      <c r="R74" s="1109"/>
      <c r="S74" s="1109"/>
      <c r="T74" s="1109"/>
      <c r="U74" s="353"/>
      <c r="AA74" s="578"/>
      <c r="AB74" s="578"/>
    </row>
    <row r="75" spans="1:31" s="352" customFormat="1" x14ac:dyDescent="0.2">
      <c r="A75" s="353"/>
      <c r="B75" s="353"/>
      <c r="C75" s="353"/>
      <c r="D75" s="353"/>
      <c r="E75" s="353"/>
      <c r="F75" s="353"/>
      <c r="G75" s="353"/>
      <c r="I75" s="353"/>
      <c r="J75" s="353"/>
      <c r="K75" s="353"/>
      <c r="O75" s="578"/>
      <c r="AA75" s="578"/>
      <c r="AB75" s="578"/>
    </row>
    <row r="76" spans="1:31" s="352" customFormat="1" x14ac:dyDescent="0.2">
      <c r="A76" s="353"/>
      <c r="B76" s="353"/>
      <c r="C76" s="353"/>
      <c r="D76" s="353"/>
      <c r="E76" s="353"/>
      <c r="F76" s="353"/>
      <c r="G76" s="353"/>
      <c r="I76" s="353"/>
      <c r="J76" s="353"/>
      <c r="K76" s="353"/>
      <c r="O76" s="578"/>
      <c r="AA76" s="578"/>
      <c r="AB76" s="578"/>
    </row>
    <row r="77" spans="1:31" s="352" customFormat="1" x14ac:dyDescent="0.2">
      <c r="A77" s="353"/>
      <c r="B77" s="353"/>
      <c r="C77" s="353"/>
      <c r="D77" s="353"/>
      <c r="E77" s="353"/>
      <c r="F77" s="353"/>
      <c r="G77" s="353"/>
      <c r="I77" s="353"/>
      <c r="J77" s="353"/>
      <c r="K77" s="353"/>
      <c r="O77" s="578"/>
      <c r="AA77" s="578"/>
      <c r="AB77" s="578"/>
    </row>
    <row r="78" spans="1:31" s="352" customFormat="1" x14ac:dyDescent="0.2">
      <c r="A78" s="353"/>
      <c r="B78" s="353"/>
      <c r="C78" s="353"/>
      <c r="D78" s="353"/>
      <c r="E78" s="353"/>
      <c r="F78" s="353"/>
      <c r="G78" s="353"/>
      <c r="I78" s="353"/>
      <c r="J78" s="353"/>
      <c r="K78" s="353"/>
      <c r="O78" s="578"/>
      <c r="AA78" s="578"/>
      <c r="AB78" s="578"/>
    </row>
    <row r="79" spans="1:31" s="352" customFormat="1" x14ac:dyDescent="0.2">
      <c r="A79" s="353"/>
      <c r="B79" s="353"/>
      <c r="C79" s="353"/>
      <c r="D79" s="353"/>
      <c r="E79" s="353"/>
      <c r="F79" s="353"/>
      <c r="G79" s="353"/>
      <c r="I79" s="353"/>
      <c r="J79" s="353"/>
      <c r="K79" s="353"/>
      <c r="O79" s="578"/>
      <c r="AA79" s="578"/>
      <c r="AB79" s="578"/>
    </row>
    <row r="80" spans="1:31" s="352" customFormat="1" x14ac:dyDescent="0.2">
      <c r="A80" s="353"/>
      <c r="B80" s="353"/>
      <c r="C80" s="353"/>
      <c r="D80" s="353"/>
      <c r="E80" s="353"/>
      <c r="F80" s="353"/>
      <c r="G80" s="353"/>
      <c r="I80" s="353"/>
      <c r="J80" s="353"/>
      <c r="K80" s="353"/>
      <c r="O80" s="578"/>
      <c r="AA80" s="578"/>
      <c r="AB80" s="578"/>
    </row>
    <row r="81" spans="1:28" s="352" customFormat="1" x14ac:dyDescent="0.2">
      <c r="A81" s="353"/>
      <c r="B81" s="353"/>
      <c r="C81" s="353"/>
      <c r="D81" s="353"/>
      <c r="E81" s="353"/>
      <c r="F81" s="353"/>
      <c r="G81" s="353"/>
      <c r="I81" s="353"/>
      <c r="J81" s="353"/>
      <c r="K81" s="353"/>
      <c r="O81" s="578"/>
      <c r="AA81" s="578"/>
      <c r="AB81" s="578"/>
    </row>
    <row r="82" spans="1:28" s="352" customFormat="1" x14ac:dyDescent="0.2">
      <c r="A82" s="353"/>
      <c r="B82" s="353"/>
      <c r="C82" s="353"/>
      <c r="D82" s="353"/>
      <c r="E82" s="353"/>
      <c r="F82" s="353"/>
      <c r="G82" s="353"/>
      <c r="I82" s="353"/>
      <c r="J82" s="353"/>
      <c r="K82" s="353"/>
      <c r="O82" s="578"/>
      <c r="AA82" s="578"/>
      <c r="AB82" s="578"/>
    </row>
    <row r="83" spans="1:28" s="352" customFormat="1" x14ac:dyDescent="0.2">
      <c r="A83" s="353"/>
      <c r="B83" s="353"/>
      <c r="C83" s="353"/>
      <c r="D83" s="353"/>
      <c r="E83" s="353"/>
      <c r="F83" s="353"/>
      <c r="G83" s="353"/>
      <c r="I83" s="353"/>
      <c r="J83" s="353"/>
      <c r="K83" s="353"/>
      <c r="O83" s="578"/>
      <c r="AA83" s="578"/>
      <c r="AB83" s="578"/>
    </row>
    <row r="84" spans="1:28" s="352" customFormat="1" x14ac:dyDescent="0.2">
      <c r="A84" s="353"/>
      <c r="B84" s="353"/>
      <c r="C84" s="353"/>
      <c r="D84" s="353"/>
      <c r="E84" s="353"/>
      <c r="F84" s="353"/>
      <c r="G84" s="353"/>
      <c r="I84" s="353"/>
      <c r="J84" s="353"/>
      <c r="K84" s="353"/>
      <c r="O84" s="578"/>
      <c r="AA84" s="578"/>
      <c r="AB84" s="578"/>
    </row>
    <row r="85" spans="1:28" s="352" customFormat="1" x14ac:dyDescent="0.2">
      <c r="A85" s="353"/>
      <c r="B85" s="353"/>
      <c r="C85" s="353"/>
      <c r="D85" s="353"/>
      <c r="E85" s="353"/>
      <c r="F85" s="353"/>
      <c r="G85" s="353"/>
      <c r="I85" s="353"/>
      <c r="J85" s="353"/>
      <c r="K85" s="353"/>
      <c r="O85" s="578"/>
      <c r="AA85" s="578"/>
      <c r="AB85" s="578"/>
    </row>
    <row r="86" spans="1:28" s="352" customFormat="1" x14ac:dyDescent="0.2">
      <c r="A86" s="353"/>
      <c r="B86" s="353"/>
      <c r="C86" s="353"/>
      <c r="D86" s="353"/>
      <c r="E86" s="353"/>
      <c r="F86" s="353"/>
      <c r="G86" s="353"/>
      <c r="I86" s="353"/>
      <c r="J86" s="353"/>
      <c r="K86" s="353"/>
      <c r="O86" s="578"/>
      <c r="AA86" s="578"/>
      <c r="AB86" s="578"/>
    </row>
    <row r="87" spans="1:28" s="352" customFormat="1" x14ac:dyDescent="0.2">
      <c r="A87" s="353"/>
      <c r="B87" s="353"/>
      <c r="C87" s="353"/>
      <c r="D87" s="353"/>
      <c r="E87" s="353"/>
      <c r="F87" s="353"/>
      <c r="G87" s="353"/>
      <c r="I87" s="353"/>
      <c r="J87" s="353"/>
      <c r="K87" s="353"/>
      <c r="O87" s="578"/>
      <c r="AA87" s="578"/>
      <c r="AB87" s="578"/>
    </row>
    <row r="88" spans="1:28" s="352" customFormat="1" x14ac:dyDescent="0.2">
      <c r="A88" s="353"/>
      <c r="B88" s="353"/>
      <c r="C88" s="353"/>
      <c r="D88" s="353"/>
      <c r="E88" s="353"/>
      <c r="F88" s="353"/>
      <c r="G88" s="353"/>
      <c r="I88" s="353"/>
      <c r="J88" s="353"/>
      <c r="K88" s="353"/>
      <c r="O88" s="578"/>
      <c r="AA88" s="578"/>
      <c r="AB88" s="578"/>
    </row>
    <row r="89" spans="1:28" s="352" customFormat="1" x14ac:dyDescent="0.2">
      <c r="A89" s="353"/>
      <c r="B89" s="353"/>
      <c r="C89" s="353"/>
      <c r="D89" s="353"/>
      <c r="E89" s="353"/>
      <c r="F89" s="353"/>
      <c r="G89" s="353"/>
      <c r="I89" s="353"/>
      <c r="J89" s="353"/>
      <c r="K89" s="353"/>
      <c r="O89" s="578"/>
      <c r="AA89" s="578"/>
      <c r="AB89" s="578"/>
    </row>
    <row r="90" spans="1:28" s="352" customFormat="1" x14ac:dyDescent="0.2">
      <c r="A90" s="353"/>
      <c r="B90" s="353"/>
      <c r="C90" s="353"/>
      <c r="D90" s="353"/>
      <c r="E90" s="353"/>
      <c r="F90" s="353"/>
      <c r="G90" s="353"/>
      <c r="I90" s="353"/>
      <c r="J90" s="353"/>
      <c r="K90" s="353"/>
      <c r="O90" s="578"/>
      <c r="AA90" s="578"/>
      <c r="AB90" s="578"/>
    </row>
    <row r="91" spans="1:28" s="352" customFormat="1" x14ac:dyDescent="0.2">
      <c r="A91" s="353"/>
      <c r="B91" s="353"/>
      <c r="C91" s="353"/>
      <c r="D91" s="353"/>
      <c r="E91" s="353"/>
      <c r="F91" s="353"/>
      <c r="G91" s="353"/>
      <c r="I91" s="353"/>
      <c r="J91" s="353"/>
      <c r="K91" s="353"/>
      <c r="O91" s="578"/>
      <c r="AA91" s="578"/>
      <c r="AB91" s="578"/>
    </row>
    <row r="92" spans="1:28" s="352" customFormat="1" x14ac:dyDescent="0.2">
      <c r="A92" s="353"/>
      <c r="B92" s="353"/>
      <c r="C92" s="353"/>
      <c r="D92" s="353"/>
      <c r="E92" s="353"/>
      <c r="F92" s="353"/>
      <c r="G92" s="353"/>
      <c r="I92" s="353"/>
      <c r="J92" s="353"/>
      <c r="K92" s="353"/>
      <c r="O92" s="578"/>
      <c r="AA92" s="578"/>
      <c r="AB92" s="578"/>
    </row>
    <row r="93" spans="1:28" s="352" customFormat="1" x14ac:dyDescent="0.2">
      <c r="A93" s="353"/>
      <c r="B93" s="353"/>
      <c r="C93" s="353"/>
      <c r="D93" s="353"/>
      <c r="E93" s="353"/>
      <c r="F93" s="353"/>
      <c r="G93" s="353"/>
      <c r="I93" s="353"/>
      <c r="J93" s="353"/>
      <c r="K93" s="353"/>
      <c r="O93" s="578"/>
      <c r="AA93" s="578"/>
      <c r="AB93" s="578"/>
    </row>
    <row r="94" spans="1:28" s="352" customFormat="1" x14ac:dyDescent="0.2">
      <c r="A94" s="353"/>
      <c r="B94" s="353"/>
      <c r="C94" s="353"/>
      <c r="D94" s="353"/>
      <c r="E94" s="353"/>
      <c r="F94" s="353"/>
      <c r="G94" s="353"/>
      <c r="I94" s="353"/>
      <c r="J94" s="353"/>
      <c r="K94" s="353"/>
      <c r="O94" s="578"/>
      <c r="AA94" s="578"/>
      <c r="AB94" s="578"/>
    </row>
    <row r="95" spans="1:28" s="352" customFormat="1" x14ac:dyDescent="0.2">
      <c r="A95" s="353"/>
      <c r="B95" s="353"/>
      <c r="C95" s="353"/>
      <c r="D95" s="353"/>
      <c r="E95" s="353"/>
      <c r="F95" s="353"/>
      <c r="G95" s="353"/>
      <c r="I95" s="353"/>
      <c r="J95" s="353"/>
      <c r="K95" s="353"/>
      <c r="O95" s="578"/>
      <c r="AA95" s="578"/>
      <c r="AB95" s="578"/>
    </row>
    <row r="96" spans="1:28" s="352" customFormat="1" x14ac:dyDescent="0.2">
      <c r="A96" s="353"/>
      <c r="B96" s="353"/>
      <c r="C96" s="353"/>
      <c r="D96" s="353"/>
      <c r="E96" s="353"/>
      <c r="F96" s="353"/>
      <c r="G96" s="353"/>
      <c r="I96" s="353"/>
      <c r="J96" s="353"/>
      <c r="K96" s="353"/>
      <c r="O96" s="578"/>
      <c r="AA96" s="578"/>
      <c r="AB96" s="578"/>
    </row>
    <row r="97" spans="1:28" s="352" customFormat="1" x14ac:dyDescent="0.2">
      <c r="A97" s="353"/>
      <c r="B97" s="353"/>
      <c r="C97" s="353"/>
      <c r="D97" s="353"/>
      <c r="E97" s="353"/>
      <c r="F97" s="353"/>
      <c r="G97" s="353"/>
      <c r="I97" s="353"/>
      <c r="J97" s="353"/>
      <c r="K97" s="353"/>
      <c r="O97" s="578"/>
      <c r="AA97" s="578"/>
      <c r="AB97" s="578"/>
    </row>
    <row r="98" spans="1:28" s="352" customFormat="1" x14ac:dyDescent="0.2">
      <c r="A98" s="353"/>
      <c r="B98" s="353"/>
      <c r="C98" s="353"/>
      <c r="D98" s="353"/>
      <c r="E98" s="353"/>
      <c r="F98" s="353"/>
      <c r="G98" s="353"/>
      <c r="I98" s="353"/>
      <c r="J98" s="353"/>
      <c r="K98" s="353"/>
      <c r="O98" s="578"/>
      <c r="AA98" s="578"/>
      <c r="AB98" s="578"/>
    </row>
    <row r="99" spans="1:28" s="352" customFormat="1" x14ac:dyDescent="0.2">
      <c r="A99" s="353"/>
      <c r="B99" s="353"/>
      <c r="C99" s="353"/>
      <c r="D99" s="353"/>
      <c r="E99" s="353"/>
      <c r="F99" s="353"/>
      <c r="G99" s="353"/>
      <c r="I99" s="353"/>
      <c r="J99" s="353"/>
      <c r="K99" s="353"/>
      <c r="O99" s="578"/>
      <c r="AA99" s="578"/>
      <c r="AB99" s="578"/>
    </row>
    <row r="100" spans="1:28" s="352" customFormat="1" x14ac:dyDescent="0.2">
      <c r="A100" s="353"/>
      <c r="B100" s="353"/>
      <c r="C100" s="353"/>
      <c r="D100" s="353"/>
      <c r="E100" s="353"/>
      <c r="F100" s="353"/>
      <c r="G100" s="353"/>
      <c r="I100" s="353"/>
      <c r="J100" s="353"/>
      <c r="K100" s="353"/>
      <c r="O100" s="578"/>
      <c r="AA100" s="578"/>
      <c r="AB100" s="578"/>
    </row>
    <row r="101" spans="1:28" s="352" customFormat="1" x14ac:dyDescent="0.2">
      <c r="A101" s="353"/>
      <c r="B101" s="353"/>
      <c r="C101" s="353"/>
      <c r="D101" s="353"/>
      <c r="E101" s="353"/>
      <c r="F101" s="353"/>
      <c r="G101" s="353"/>
      <c r="I101" s="353"/>
      <c r="J101" s="353"/>
      <c r="K101" s="353"/>
      <c r="O101" s="578"/>
      <c r="AA101" s="578"/>
      <c r="AB101" s="578"/>
    </row>
    <row r="102" spans="1:28" s="352" customFormat="1" x14ac:dyDescent="0.2">
      <c r="A102" s="353"/>
      <c r="B102" s="353"/>
      <c r="C102" s="353"/>
      <c r="D102" s="353"/>
      <c r="E102" s="353"/>
      <c r="F102" s="353"/>
      <c r="G102" s="353"/>
      <c r="I102" s="353"/>
      <c r="J102" s="353"/>
      <c r="K102" s="353"/>
      <c r="O102" s="578"/>
      <c r="AA102" s="578"/>
      <c r="AB102" s="578"/>
    </row>
    <row r="103" spans="1:28" s="352" customFormat="1" x14ac:dyDescent="0.2">
      <c r="A103" s="353"/>
      <c r="B103" s="353"/>
      <c r="C103" s="353"/>
      <c r="D103" s="353"/>
      <c r="E103" s="353"/>
      <c r="F103" s="353"/>
      <c r="G103" s="353"/>
      <c r="I103" s="353"/>
      <c r="J103" s="353"/>
      <c r="K103" s="353"/>
      <c r="O103" s="578"/>
      <c r="AA103" s="578"/>
      <c r="AB103" s="578"/>
    </row>
    <row r="104" spans="1:28" s="352" customFormat="1" x14ac:dyDescent="0.2">
      <c r="A104" s="353"/>
      <c r="B104" s="353"/>
      <c r="C104" s="353"/>
      <c r="D104" s="353"/>
      <c r="E104" s="353"/>
      <c r="F104" s="353"/>
      <c r="G104" s="353"/>
      <c r="I104" s="353"/>
      <c r="J104" s="353"/>
      <c r="K104" s="353"/>
      <c r="O104" s="578"/>
      <c r="AA104" s="578"/>
      <c r="AB104" s="578"/>
    </row>
    <row r="105" spans="1:28" s="352" customFormat="1" x14ac:dyDescent="0.2">
      <c r="A105" s="353"/>
      <c r="B105" s="353"/>
      <c r="C105" s="353"/>
      <c r="D105" s="353"/>
      <c r="E105" s="353"/>
      <c r="F105" s="353"/>
      <c r="G105" s="353"/>
      <c r="I105" s="353"/>
      <c r="J105" s="353"/>
      <c r="K105" s="353"/>
      <c r="O105" s="578"/>
      <c r="AA105" s="578"/>
      <c r="AB105" s="578"/>
    </row>
    <row r="106" spans="1:28" s="352" customFormat="1" x14ac:dyDescent="0.2">
      <c r="A106" s="353"/>
      <c r="B106" s="353"/>
      <c r="C106" s="353"/>
      <c r="D106" s="353"/>
      <c r="E106" s="353"/>
      <c r="F106" s="353"/>
      <c r="G106" s="353"/>
      <c r="I106" s="353"/>
      <c r="J106" s="353"/>
      <c r="K106" s="353"/>
      <c r="O106" s="578"/>
      <c r="AA106" s="578"/>
      <c r="AB106" s="578"/>
    </row>
    <row r="107" spans="1:28" s="352" customFormat="1" x14ac:dyDescent="0.2">
      <c r="A107" s="353"/>
      <c r="B107" s="353"/>
      <c r="C107" s="353"/>
      <c r="D107" s="353"/>
      <c r="E107" s="353"/>
      <c r="F107" s="353"/>
      <c r="G107" s="353"/>
      <c r="I107" s="353"/>
      <c r="J107" s="353"/>
      <c r="K107" s="353"/>
      <c r="O107" s="578"/>
      <c r="AA107" s="578"/>
      <c r="AB107" s="578"/>
    </row>
    <row r="108" spans="1:28" s="352" customFormat="1" x14ac:dyDescent="0.2">
      <c r="A108" s="353"/>
      <c r="B108" s="353"/>
      <c r="C108" s="353"/>
      <c r="D108" s="353"/>
      <c r="E108" s="353"/>
      <c r="F108" s="353"/>
      <c r="G108" s="353"/>
      <c r="I108" s="353"/>
      <c r="J108" s="353"/>
      <c r="K108" s="353"/>
      <c r="O108" s="578"/>
      <c r="AA108" s="578"/>
      <c r="AB108" s="578"/>
    </row>
    <row r="109" spans="1:28" s="352" customFormat="1" x14ac:dyDescent="0.2">
      <c r="A109" s="353"/>
      <c r="B109" s="353"/>
      <c r="C109" s="353"/>
      <c r="D109" s="353"/>
      <c r="E109" s="353"/>
      <c r="F109" s="353"/>
      <c r="G109" s="353"/>
      <c r="I109" s="353"/>
      <c r="J109" s="353"/>
      <c r="K109" s="353"/>
      <c r="O109" s="578"/>
      <c r="AA109" s="578"/>
      <c r="AB109" s="578"/>
    </row>
    <row r="110" spans="1:28" s="352" customFormat="1" x14ac:dyDescent="0.2">
      <c r="A110" s="353"/>
      <c r="B110" s="353"/>
      <c r="C110" s="353"/>
      <c r="D110" s="353"/>
      <c r="E110" s="353"/>
      <c r="F110" s="353"/>
      <c r="G110" s="353"/>
      <c r="I110" s="353"/>
      <c r="J110" s="353"/>
      <c r="K110" s="353"/>
      <c r="O110" s="578"/>
      <c r="AA110" s="578"/>
      <c r="AB110" s="578"/>
    </row>
    <row r="111" spans="1:28" s="352" customFormat="1" x14ac:dyDescent="0.2">
      <c r="A111" s="353"/>
      <c r="B111" s="353"/>
      <c r="C111" s="353"/>
      <c r="D111" s="353"/>
      <c r="E111" s="353"/>
      <c r="F111" s="353"/>
      <c r="G111" s="353"/>
      <c r="I111" s="353"/>
      <c r="J111" s="353"/>
      <c r="K111" s="353"/>
      <c r="O111" s="578"/>
      <c r="AA111" s="578"/>
      <c r="AB111" s="578"/>
    </row>
    <row r="112" spans="1:28" s="352" customFormat="1" x14ac:dyDescent="0.2">
      <c r="A112" s="353"/>
      <c r="B112" s="353"/>
      <c r="C112" s="353"/>
      <c r="D112" s="353"/>
      <c r="E112" s="353"/>
      <c r="F112" s="353"/>
      <c r="G112" s="353"/>
      <c r="I112" s="353"/>
      <c r="J112" s="353"/>
      <c r="K112" s="353"/>
      <c r="O112" s="578"/>
      <c r="AA112" s="578"/>
      <c r="AB112" s="578"/>
    </row>
    <row r="113" spans="1:28" s="352" customFormat="1" x14ac:dyDescent="0.2">
      <c r="A113" s="353"/>
      <c r="B113" s="353"/>
      <c r="C113" s="353"/>
      <c r="D113" s="353"/>
      <c r="E113" s="353"/>
      <c r="F113" s="353"/>
      <c r="G113" s="353"/>
      <c r="I113" s="353"/>
      <c r="J113" s="353"/>
      <c r="K113" s="353"/>
      <c r="O113" s="578"/>
      <c r="AA113" s="578"/>
      <c r="AB113" s="578"/>
    </row>
    <row r="114" spans="1:28" s="352" customFormat="1" x14ac:dyDescent="0.2">
      <c r="A114" s="353"/>
      <c r="B114" s="353"/>
      <c r="C114" s="353"/>
      <c r="D114" s="353"/>
      <c r="E114" s="353"/>
      <c r="F114" s="353"/>
      <c r="G114" s="353"/>
      <c r="I114" s="353"/>
      <c r="J114" s="353"/>
      <c r="K114" s="353"/>
      <c r="O114" s="578"/>
      <c r="AA114" s="578"/>
      <c r="AB114" s="578"/>
    </row>
    <row r="115" spans="1:28" s="352" customFormat="1" x14ac:dyDescent="0.2">
      <c r="A115" s="353"/>
      <c r="B115" s="353"/>
      <c r="C115" s="353"/>
      <c r="D115" s="353"/>
      <c r="E115" s="353"/>
      <c r="F115" s="353"/>
      <c r="G115" s="353"/>
      <c r="I115" s="353"/>
      <c r="J115" s="353"/>
      <c r="K115" s="353"/>
      <c r="O115" s="578"/>
      <c r="AA115" s="578"/>
      <c r="AB115" s="578"/>
    </row>
    <row r="116" spans="1:28" s="352" customFormat="1" x14ac:dyDescent="0.2">
      <c r="A116" s="353"/>
      <c r="B116" s="353"/>
      <c r="C116" s="353"/>
      <c r="D116" s="353"/>
      <c r="E116" s="353"/>
      <c r="F116" s="353"/>
      <c r="G116" s="353"/>
      <c r="I116" s="353"/>
      <c r="J116" s="353"/>
      <c r="K116" s="353"/>
      <c r="O116" s="578"/>
      <c r="AA116" s="578"/>
      <c r="AB116" s="578"/>
    </row>
    <row r="117" spans="1:28" s="352" customFormat="1" x14ac:dyDescent="0.2">
      <c r="A117" s="353"/>
      <c r="B117" s="353"/>
      <c r="C117" s="353"/>
      <c r="D117" s="353"/>
      <c r="E117" s="353"/>
      <c r="F117" s="353"/>
      <c r="G117" s="353"/>
      <c r="I117" s="353"/>
      <c r="J117" s="353"/>
      <c r="K117" s="353"/>
      <c r="O117" s="578"/>
      <c r="AA117" s="578"/>
      <c r="AB117" s="578"/>
    </row>
    <row r="118" spans="1:28" s="352" customFormat="1" x14ac:dyDescent="0.2">
      <c r="A118" s="353"/>
      <c r="B118" s="353"/>
      <c r="C118" s="353"/>
      <c r="D118" s="353"/>
      <c r="E118" s="353"/>
      <c r="F118" s="353"/>
      <c r="G118" s="353"/>
      <c r="I118" s="353"/>
      <c r="J118" s="353"/>
      <c r="K118" s="353"/>
      <c r="O118" s="578"/>
      <c r="AA118" s="578"/>
      <c r="AB118" s="578"/>
    </row>
    <row r="119" spans="1:28" s="352" customFormat="1" x14ac:dyDescent="0.2">
      <c r="A119" s="353"/>
      <c r="B119" s="353"/>
      <c r="C119" s="353"/>
      <c r="D119" s="353"/>
      <c r="E119" s="353"/>
      <c r="F119" s="353"/>
      <c r="G119" s="353"/>
      <c r="I119" s="353"/>
      <c r="J119" s="353"/>
      <c r="K119" s="353"/>
      <c r="O119" s="578"/>
      <c r="AA119" s="578"/>
      <c r="AB119" s="578"/>
    </row>
    <row r="120" spans="1:28" s="352" customFormat="1" x14ac:dyDescent="0.2">
      <c r="A120" s="353"/>
      <c r="B120" s="353"/>
      <c r="C120" s="353"/>
      <c r="D120" s="353"/>
      <c r="E120" s="353"/>
      <c r="F120" s="353"/>
      <c r="G120" s="353"/>
      <c r="I120" s="353"/>
      <c r="J120" s="353"/>
      <c r="K120" s="353"/>
      <c r="O120" s="578"/>
      <c r="AA120" s="578"/>
      <c r="AB120" s="578"/>
    </row>
    <row r="121" spans="1:28" s="352" customFormat="1" x14ac:dyDescent="0.2">
      <c r="A121" s="353"/>
      <c r="B121" s="353"/>
      <c r="C121" s="353"/>
      <c r="D121" s="353"/>
      <c r="E121" s="353"/>
      <c r="F121" s="353"/>
      <c r="G121" s="353"/>
      <c r="I121" s="353"/>
      <c r="J121" s="353"/>
      <c r="K121" s="353"/>
      <c r="O121" s="578"/>
      <c r="AA121" s="578"/>
      <c r="AB121" s="578"/>
    </row>
    <row r="122" spans="1:28" s="352" customFormat="1" x14ac:dyDescent="0.2">
      <c r="A122" s="353"/>
      <c r="B122" s="353"/>
      <c r="C122" s="353"/>
      <c r="D122" s="353"/>
      <c r="E122" s="353"/>
      <c r="F122" s="353"/>
      <c r="G122" s="353"/>
      <c r="I122" s="353"/>
      <c r="J122" s="353"/>
      <c r="K122" s="353"/>
      <c r="O122" s="578"/>
      <c r="AA122" s="578"/>
      <c r="AB122" s="578"/>
    </row>
    <row r="123" spans="1:28" s="352" customFormat="1" x14ac:dyDescent="0.2">
      <c r="A123" s="353"/>
      <c r="B123" s="353"/>
      <c r="C123" s="353"/>
      <c r="D123" s="353"/>
      <c r="E123" s="353"/>
      <c r="F123" s="353"/>
      <c r="G123" s="353"/>
      <c r="I123" s="353"/>
      <c r="J123" s="353"/>
      <c r="K123" s="353"/>
      <c r="O123" s="578"/>
    </row>
    <row r="124" spans="1:28" s="352" customFormat="1" x14ac:dyDescent="0.2">
      <c r="A124" s="353"/>
      <c r="B124" s="353"/>
      <c r="C124" s="353"/>
      <c r="D124" s="353"/>
      <c r="E124" s="353"/>
      <c r="F124" s="353"/>
      <c r="G124" s="353"/>
      <c r="I124" s="353"/>
      <c r="J124" s="353"/>
      <c r="K124" s="353"/>
      <c r="O124" s="578"/>
    </row>
    <row r="125" spans="1:28" s="352" customFormat="1" x14ac:dyDescent="0.2">
      <c r="A125" s="353"/>
      <c r="B125" s="353"/>
      <c r="C125" s="353"/>
      <c r="D125" s="353"/>
      <c r="E125" s="353"/>
      <c r="F125" s="353"/>
      <c r="G125" s="353"/>
      <c r="I125" s="353"/>
      <c r="J125" s="353"/>
      <c r="K125" s="353"/>
      <c r="O125" s="578"/>
    </row>
    <row r="126" spans="1:28" s="352" customFormat="1" x14ac:dyDescent="0.2">
      <c r="A126" s="353"/>
      <c r="B126" s="353"/>
      <c r="C126" s="353"/>
      <c r="D126" s="353"/>
      <c r="E126" s="353"/>
      <c r="F126" s="353"/>
      <c r="G126" s="353"/>
      <c r="I126" s="353"/>
      <c r="J126" s="353"/>
      <c r="K126" s="353"/>
      <c r="O126" s="578"/>
    </row>
    <row r="127" spans="1:28" s="352" customFormat="1" x14ac:dyDescent="0.2">
      <c r="A127" s="353"/>
      <c r="B127" s="353"/>
      <c r="C127" s="353"/>
      <c r="D127" s="353"/>
      <c r="E127" s="353"/>
      <c r="F127" s="353"/>
      <c r="G127" s="353"/>
      <c r="I127" s="353"/>
      <c r="J127" s="353"/>
      <c r="K127" s="353"/>
      <c r="O127" s="578"/>
    </row>
    <row r="128" spans="1:28" s="352" customFormat="1" x14ac:dyDescent="0.2">
      <c r="A128" s="353"/>
      <c r="B128" s="353"/>
      <c r="C128" s="353"/>
      <c r="D128" s="353"/>
      <c r="E128" s="353"/>
      <c r="F128" s="353"/>
      <c r="G128" s="353"/>
      <c r="I128" s="353"/>
      <c r="J128" s="353"/>
      <c r="K128" s="353"/>
      <c r="O128" s="578"/>
    </row>
    <row r="129" spans="1:15" s="352" customFormat="1" x14ac:dyDescent="0.2">
      <c r="A129" s="353"/>
      <c r="B129" s="353"/>
      <c r="C129" s="353"/>
      <c r="D129" s="353"/>
      <c r="E129" s="353"/>
      <c r="F129" s="353"/>
      <c r="G129" s="353"/>
      <c r="I129" s="353"/>
      <c r="J129" s="353"/>
      <c r="K129" s="353"/>
      <c r="O129" s="578"/>
    </row>
    <row r="130" spans="1:15" s="352" customFormat="1" x14ac:dyDescent="0.2">
      <c r="A130" s="353"/>
      <c r="B130" s="353"/>
      <c r="C130" s="353"/>
      <c r="D130" s="353"/>
      <c r="E130" s="353"/>
      <c r="F130" s="353"/>
      <c r="G130" s="353"/>
      <c r="I130" s="353"/>
      <c r="J130" s="353"/>
      <c r="K130" s="353"/>
      <c r="O130" s="578"/>
    </row>
    <row r="131" spans="1:15" s="352" customFormat="1" x14ac:dyDescent="0.2">
      <c r="A131" s="353"/>
      <c r="B131" s="353"/>
      <c r="C131" s="353"/>
      <c r="D131" s="353"/>
      <c r="E131" s="353"/>
      <c r="F131" s="353"/>
      <c r="G131" s="353"/>
      <c r="I131" s="353"/>
      <c r="J131" s="353"/>
      <c r="K131" s="353"/>
      <c r="O131" s="578"/>
    </row>
    <row r="132" spans="1:15" s="352" customFormat="1" x14ac:dyDescent="0.2">
      <c r="A132" s="353"/>
      <c r="B132" s="353"/>
      <c r="C132" s="353"/>
      <c r="D132" s="353"/>
      <c r="E132" s="353"/>
      <c r="F132" s="353"/>
      <c r="G132" s="353"/>
      <c r="I132" s="353"/>
      <c r="J132" s="353"/>
      <c r="K132" s="353"/>
      <c r="O132" s="578"/>
    </row>
    <row r="133" spans="1:15" s="352" customFormat="1" x14ac:dyDescent="0.2">
      <c r="A133" s="353"/>
      <c r="B133" s="353"/>
      <c r="C133" s="353"/>
      <c r="D133" s="353"/>
      <c r="E133" s="353"/>
      <c r="F133" s="353"/>
      <c r="G133" s="353"/>
      <c r="I133" s="353"/>
      <c r="J133" s="353"/>
      <c r="K133" s="353"/>
      <c r="O133" s="578"/>
    </row>
    <row r="134" spans="1:15" s="352" customFormat="1" x14ac:dyDescent="0.2">
      <c r="A134" s="353"/>
      <c r="B134" s="353"/>
      <c r="C134" s="353"/>
      <c r="D134" s="353"/>
      <c r="E134" s="353"/>
      <c r="F134" s="353"/>
      <c r="G134" s="353"/>
      <c r="I134" s="353"/>
      <c r="J134" s="353"/>
      <c r="K134" s="353"/>
      <c r="O134" s="578"/>
    </row>
    <row r="135" spans="1:15" s="352" customFormat="1" x14ac:dyDescent="0.2">
      <c r="A135" s="353"/>
      <c r="B135" s="353"/>
      <c r="C135" s="353"/>
      <c r="D135" s="353"/>
      <c r="E135" s="353"/>
      <c r="F135" s="353"/>
      <c r="G135" s="353"/>
      <c r="I135" s="353"/>
      <c r="J135" s="353"/>
      <c r="K135" s="353"/>
      <c r="O135" s="578"/>
    </row>
    <row r="136" spans="1:15" s="352" customFormat="1" x14ac:dyDescent="0.2">
      <c r="A136" s="353"/>
      <c r="B136" s="353"/>
      <c r="C136" s="353"/>
      <c r="D136" s="353"/>
      <c r="E136" s="353"/>
      <c r="F136" s="353"/>
      <c r="G136" s="353"/>
      <c r="I136" s="353"/>
      <c r="J136" s="353"/>
      <c r="K136" s="353"/>
      <c r="O136" s="578"/>
    </row>
    <row r="137" spans="1:15" s="352" customFormat="1" x14ac:dyDescent="0.2">
      <c r="A137" s="353"/>
      <c r="B137" s="353"/>
      <c r="C137" s="353"/>
      <c r="D137" s="353"/>
      <c r="E137" s="353"/>
      <c r="F137" s="353"/>
      <c r="G137" s="353"/>
      <c r="I137" s="353"/>
      <c r="J137" s="353"/>
      <c r="K137" s="353"/>
      <c r="O137" s="578"/>
    </row>
    <row r="138" spans="1:15" s="352" customFormat="1" x14ac:dyDescent="0.2">
      <c r="A138" s="353"/>
      <c r="B138" s="353"/>
      <c r="C138" s="353"/>
      <c r="D138" s="353"/>
      <c r="E138" s="353"/>
      <c r="F138" s="353"/>
      <c r="G138" s="353"/>
      <c r="I138" s="353"/>
      <c r="J138" s="353"/>
      <c r="K138" s="353"/>
      <c r="O138" s="578"/>
    </row>
    <row r="139" spans="1:15" s="352" customFormat="1" x14ac:dyDescent="0.2">
      <c r="A139" s="353"/>
      <c r="B139" s="353"/>
      <c r="C139" s="353"/>
      <c r="D139" s="353"/>
      <c r="E139" s="353"/>
      <c r="F139" s="353"/>
      <c r="G139" s="353"/>
      <c r="I139" s="353"/>
      <c r="J139" s="353"/>
      <c r="K139" s="353"/>
      <c r="O139" s="578"/>
    </row>
    <row r="140" spans="1:15" s="352" customFormat="1" x14ac:dyDescent="0.2">
      <c r="A140" s="353"/>
      <c r="B140" s="353"/>
      <c r="C140" s="353"/>
      <c r="D140" s="353"/>
      <c r="E140" s="353"/>
      <c r="F140" s="353"/>
      <c r="G140" s="353"/>
      <c r="I140" s="353"/>
      <c r="J140" s="353"/>
      <c r="K140" s="353"/>
      <c r="O140" s="578"/>
    </row>
    <row r="141" spans="1:15" s="352" customFormat="1" x14ac:dyDescent="0.2">
      <c r="A141" s="353"/>
      <c r="B141" s="353"/>
      <c r="C141" s="353"/>
      <c r="D141" s="353"/>
      <c r="E141" s="353"/>
      <c r="F141" s="353"/>
      <c r="G141" s="353"/>
      <c r="I141" s="353"/>
      <c r="J141" s="353"/>
      <c r="K141" s="353"/>
      <c r="O141" s="578"/>
    </row>
    <row r="142" spans="1:15" s="352" customFormat="1" x14ac:dyDescent="0.2">
      <c r="A142" s="353"/>
      <c r="B142" s="353"/>
      <c r="C142" s="353"/>
      <c r="D142" s="353"/>
      <c r="E142" s="353"/>
      <c r="F142" s="353"/>
      <c r="G142" s="353"/>
      <c r="I142" s="353"/>
      <c r="J142" s="353"/>
      <c r="K142" s="353"/>
      <c r="O142" s="578"/>
    </row>
    <row r="143" spans="1:15" s="352" customFormat="1" x14ac:dyDescent="0.2">
      <c r="A143" s="353"/>
      <c r="B143" s="353"/>
      <c r="C143" s="353"/>
      <c r="D143" s="353"/>
      <c r="E143" s="353"/>
      <c r="F143" s="353"/>
      <c r="G143" s="353"/>
      <c r="I143" s="353"/>
      <c r="J143" s="353"/>
      <c r="K143" s="353"/>
      <c r="O143" s="578"/>
    </row>
    <row r="144" spans="1:15" s="352" customFormat="1" x14ac:dyDescent="0.2">
      <c r="A144" s="353"/>
      <c r="B144" s="353"/>
      <c r="C144" s="353"/>
      <c r="D144" s="353"/>
      <c r="E144" s="353"/>
      <c r="F144" s="353"/>
      <c r="G144" s="353"/>
      <c r="I144" s="353"/>
      <c r="J144" s="353"/>
      <c r="K144" s="353"/>
      <c r="O144" s="578"/>
    </row>
    <row r="145" spans="1:15" s="352" customFormat="1" x14ac:dyDescent="0.2">
      <c r="A145" s="353"/>
      <c r="B145" s="353"/>
      <c r="C145" s="353"/>
      <c r="D145" s="353"/>
      <c r="E145" s="353"/>
      <c r="F145" s="353"/>
      <c r="G145" s="353"/>
      <c r="I145" s="353"/>
      <c r="J145" s="353"/>
      <c r="K145" s="353"/>
      <c r="O145" s="578"/>
    </row>
    <row r="146" spans="1:15" s="352" customFormat="1" x14ac:dyDescent="0.2">
      <c r="A146" s="353"/>
      <c r="B146" s="353"/>
      <c r="C146" s="353"/>
      <c r="D146" s="353"/>
      <c r="E146" s="353"/>
      <c r="F146" s="353"/>
      <c r="G146" s="353"/>
      <c r="I146" s="353"/>
      <c r="J146" s="353"/>
      <c r="K146" s="353"/>
      <c r="O146" s="578"/>
    </row>
    <row r="147" spans="1:15" s="352" customFormat="1" x14ac:dyDescent="0.2">
      <c r="A147" s="353"/>
      <c r="B147" s="353"/>
      <c r="C147" s="353"/>
      <c r="D147" s="353"/>
      <c r="E147" s="353"/>
      <c r="F147" s="353"/>
      <c r="G147" s="353"/>
      <c r="I147" s="353"/>
      <c r="J147" s="353"/>
      <c r="K147" s="353"/>
      <c r="O147" s="578"/>
    </row>
    <row r="148" spans="1:15" s="352" customFormat="1" x14ac:dyDescent="0.2">
      <c r="A148" s="353"/>
      <c r="B148" s="353"/>
      <c r="C148" s="353"/>
      <c r="D148" s="353"/>
      <c r="E148" s="353"/>
      <c r="F148" s="353"/>
      <c r="G148" s="353"/>
      <c r="I148" s="353"/>
      <c r="J148" s="353"/>
      <c r="K148" s="353"/>
      <c r="O148" s="578"/>
    </row>
    <row r="149" spans="1:15" s="352" customFormat="1" x14ac:dyDescent="0.2">
      <c r="A149" s="353"/>
      <c r="B149" s="353"/>
      <c r="C149" s="353"/>
      <c r="D149" s="353"/>
      <c r="E149" s="353"/>
      <c r="F149" s="353"/>
      <c r="G149" s="353"/>
      <c r="I149" s="353"/>
      <c r="J149" s="353"/>
      <c r="K149" s="353"/>
      <c r="O149" s="578"/>
    </row>
    <row r="150" spans="1:15" s="352" customFormat="1" x14ac:dyDescent="0.2">
      <c r="A150" s="353"/>
      <c r="B150" s="353"/>
      <c r="C150" s="353"/>
      <c r="D150" s="353"/>
      <c r="E150" s="353"/>
      <c r="F150" s="353"/>
      <c r="G150" s="353"/>
      <c r="I150" s="353"/>
      <c r="J150" s="353"/>
      <c r="K150" s="353"/>
      <c r="O150" s="578"/>
    </row>
    <row r="151" spans="1:15" s="352" customFormat="1" x14ac:dyDescent="0.2">
      <c r="A151" s="353"/>
      <c r="B151" s="353"/>
      <c r="C151" s="353"/>
      <c r="D151" s="353"/>
      <c r="E151" s="353"/>
      <c r="F151" s="353"/>
      <c r="G151" s="353"/>
      <c r="I151" s="353"/>
      <c r="J151" s="353"/>
      <c r="K151" s="353"/>
      <c r="O151" s="578"/>
    </row>
    <row r="152" spans="1:15" s="352" customFormat="1" x14ac:dyDescent="0.2">
      <c r="A152" s="353"/>
      <c r="B152" s="353"/>
      <c r="C152" s="353"/>
      <c r="D152" s="353"/>
      <c r="E152" s="353"/>
      <c r="F152" s="353"/>
      <c r="G152" s="353"/>
      <c r="I152" s="353"/>
      <c r="J152" s="353"/>
      <c r="K152" s="353"/>
      <c r="O152" s="578"/>
    </row>
    <row r="153" spans="1:15" s="352" customFormat="1" x14ac:dyDescent="0.2">
      <c r="A153" s="353"/>
      <c r="B153" s="353"/>
      <c r="C153" s="353"/>
      <c r="D153" s="353"/>
      <c r="E153" s="353"/>
      <c r="F153" s="353"/>
      <c r="G153" s="353"/>
      <c r="I153" s="353"/>
      <c r="J153" s="353"/>
      <c r="K153" s="353"/>
      <c r="O153" s="578"/>
    </row>
    <row r="154" spans="1:15" s="352" customFormat="1" x14ac:dyDescent="0.2">
      <c r="A154" s="353"/>
      <c r="B154" s="353"/>
      <c r="C154" s="353"/>
      <c r="D154" s="353"/>
      <c r="E154" s="353"/>
      <c r="F154" s="353"/>
      <c r="G154" s="353"/>
      <c r="I154" s="353"/>
      <c r="J154" s="353"/>
      <c r="K154" s="353"/>
      <c r="O154" s="578"/>
    </row>
    <row r="155" spans="1:15" s="352" customFormat="1" x14ac:dyDescent="0.2">
      <c r="A155" s="353"/>
      <c r="B155" s="353"/>
      <c r="C155" s="353"/>
      <c r="D155" s="353"/>
      <c r="E155" s="353"/>
      <c r="F155" s="353"/>
      <c r="G155" s="353"/>
      <c r="I155" s="353"/>
      <c r="J155" s="353"/>
      <c r="K155" s="353"/>
      <c r="O155" s="578"/>
    </row>
    <row r="156" spans="1:15" s="352" customFormat="1" x14ac:dyDescent="0.2">
      <c r="A156" s="353"/>
      <c r="B156" s="353"/>
      <c r="C156" s="353"/>
      <c r="D156" s="353"/>
      <c r="E156" s="353"/>
      <c r="F156" s="353"/>
      <c r="G156" s="353"/>
      <c r="I156" s="353"/>
      <c r="J156" s="353"/>
      <c r="K156" s="353"/>
      <c r="O156" s="578"/>
    </row>
    <row r="157" spans="1:15" s="352" customFormat="1" x14ac:dyDescent="0.2">
      <c r="A157" s="353"/>
      <c r="B157" s="353"/>
      <c r="C157" s="353"/>
      <c r="D157" s="353"/>
      <c r="E157" s="353"/>
      <c r="F157" s="353"/>
      <c r="G157" s="353"/>
      <c r="I157" s="353"/>
      <c r="J157" s="353"/>
      <c r="K157" s="353"/>
      <c r="O157" s="578"/>
    </row>
    <row r="158" spans="1:15" s="352" customFormat="1" x14ac:dyDescent="0.2">
      <c r="A158" s="353"/>
      <c r="B158" s="353"/>
      <c r="C158" s="353"/>
      <c r="D158" s="353"/>
      <c r="E158" s="353"/>
      <c r="F158" s="353"/>
      <c r="G158" s="353"/>
      <c r="I158" s="353"/>
      <c r="J158" s="353"/>
      <c r="K158" s="353"/>
      <c r="O158" s="578"/>
    </row>
    <row r="159" spans="1:15" s="352" customFormat="1" x14ac:dyDescent="0.2">
      <c r="A159" s="353"/>
      <c r="B159" s="353"/>
      <c r="C159" s="353"/>
      <c r="D159" s="353"/>
      <c r="E159" s="353"/>
      <c r="F159" s="353"/>
      <c r="G159" s="353"/>
      <c r="I159" s="353"/>
      <c r="J159" s="353"/>
      <c r="K159" s="353"/>
      <c r="O159" s="578"/>
    </row>
    <row r="160" spans="1:15" s="352" customFormat="1" x14ac:dyDescent="0.2">
      <c r="A160" s="353"/>
      <c r="B160" s="353"/>
      <c r="C160" s="353"/>
      <c r="D160" s="353"/>
      <c r="E160" s="353"/>
      <c r="F160" s="353"/>
      <c r="G160" s="353"/>
      <c r="I160" s="353"/>
      <c r="J160" s="353"/>
      <c r="K160" s="353"/>
      <c r="O160" s="578"/>
    </row>
    <row r="161" spans="1:15" s="352" customFormat="1" x14ac:dyDescent="0.2">
      <c r="A161" s="353"/>
      <c r="B161" s="353"/>
      <c r="C161" s="353"/>
      <c r="D161" s="353"/>
      <c r="E161" s="353"/>
      <c r="F161" s="353"/>
      <c r="G161" s="353"/>
      <c r="I161" s="353"/>
      <c r="J161" s="353"/>
      <c r="K161" s="353"/>
      <c r="O161" s="578"/>
    </row>
    <row r="162" spans="1:15" s="352" customFormat="1" x14ac:dyDescent="0.2">
      <c r="A162" s="353"/>
      <c r="B162" s="353"/>
      <c r="C162" s="353"/>
      <c r="D162" s="353"/>
      <c r="E162" s="353"/>
      <c r="F162" s="353"/>
      <c r="G162" s="353"/>
      <c r="I162" s="353"/>
      <c r="J162" s="353"/>
      <c r="K162" s="353"/>
      <c r="O162" s="578"/>
    </row>
    <row r="163" spans="1:15" s="352" customFormat="1" x14ac:dyDescent="0.2">
      <c r="A163" s="353"/>
      <c r="B163" s="353"/>
      <c r="C163" s="353"/>
      <c r="D163" s="353"/>
      <c r="E163" s="353"/>
      <c r="F163" s="353"/>
      <c r="G163" s="353"/>
      <c r="I163" s="353"/>
      <c r="J163" s="353"/>
      <c r="K163" s="353"/>
      <c r="O163" s="578"/>
    </row>
    <row r="164" spans="1:15" s="352" customFormat="1" x14ac:dyDescent="0.2">
      <c r="A164" s="353"/>
      <c r="B164" s="353"/>
      <c r="C164" s="353"/>
      <c r="D164" s="353"/>
      <c r="E164" s="353"/>
      <c r="F164" s="353"/>
      <c r="G164" s="353"/>
      <c r="I164" s="353"/>
      <c r="J164" s="353"/>
      <c r="K164" s="353"/>
      <c r="O164" s="578"/>
    </row>
    <row r="165" spans="1:15" s="352" customFormat="1" x14ac:dyDescent="0.2">
      <c r="A165" s="353"/>
      <c r="B165" s="353"/>
      <c r="C165" s="353"/>
      <c r="D165" s="353"/>
      <c r="E165" s="353"/>
      <c r="F165" s="353"/>
      <c r="G165" s="353"/>
      <c r="I165" s="353"/>
      <c r="J165" s="353"/>
      <c r="K165" s="353"/>
      <c r="O165" s="578"/>
    </row>
    <row r="166" spans="1:15" s="352" customFormat="1" x14ac:dyDescent="0.2">
      <c r="A166" s="353"/>
      <c r="B166" s="353"/>
      <c r="C166" s="353"/>
      <c r="D166" s="353"/>
      <c r="E166" s="353"/>
      <c r="F166" s="353"/>
      <c r="G166" s="353"/>
      <c r="I166" s="353"/>
      <c r="J166" s="353"/>
      <c r="K166" s="353"/>
      <c r="O166" s="578"/>
    </row>
    <row r="167" spans="1:15" s="352" customFormat="1" x14ac:dyDescent="0.2">
      <c r="A167" s="353"/>
      <c r="B167" s="353"/>
      <c r="C167" s="353"/>
      <c r="D167" s="353"/>
      <c r="E167" s="353"/>
      <c r="F167" s="353"/>
      <c r="G167" s="353"/>
      <c r="I167" s="353"/>
      <c r="J167" s="353"/>
      <c r="K167" s="353"/>
      <c r="O167" s="578"/>
    </row>
    <row r="168" spans="1:15" s="352" customFormat="1" x14ac:dyDescent="0.2">
      <c r="A168" s="353"/>
      <c r="B168" s="353"/>
      <c r="C168" s="353"/>
      <c r="D168" s="353"/>
      <c r="E168" s="353"/>
      <c r="F168" s="353"/>
      <c r="G168" s="353"/>
      <c r="I168" s="353"/>
      <c r="J168" s="353"/>
      <c r="K168" s="353"/>
      <c r="O168" s="578"/>
    </row>
    <row r="169" spans="1:15" s="352" customFormat="1" x14ac:dyDescent="0.2">
      <c r="A169" s="353"/>
      <c r="B169" s="353"/>
      <c r="C169" s="353"/>
      <c r="D169" s="353"/>
      <c r="E169" s="353"/>
      <c r="F169" s="353"/>
      <c r="G169" s="353"/>
      <c r="I169" s="353"/>
      <c r="J169" s="353"/>
      <c r="K169" s="353"/>
      <c r="O169" s="578"/>
    </row>
    <row r="170" spans="1:15" s="352" customFormat="1" x14ac:dyDescent="0.2">
      <c r="A170" s="353"/>
      <c r="B170" s="353"/>
      <c r="C170" s="353"/>
      <c r="D170" s="353"/>
      <c r="E170" s="353"/>
      <c r="F170" s="353"/>
      <c r="G170" s="353"/>
      <c r="I170" s="353"/>
      <c r="J170" s="353"/>
      <c r="K170" s="353"/>
      <c r="O170" s="578"/>
    </row>
    <row r="171" spans="1:15" s="352" customFormat="1" x14ac:dyDescent="0.2">
      <c r="A171" s="353"/>
      <c r="B171" s="353"/>
      <c r="C171" s="353"/>
      <c r="D171" s="353"/>
      <c r="E171" s="353"/>
      <c r="F171" s="353"/>
      <c r="G171" s="353"/>
      <c r="I171" s="353"/>
      <c r="J171" s="353"/>
      <c r="K171" s="353"/>
      <c r="O171" s="578"/>
    </row>
    <row r="172" spans="1:15" s="352" customFormat="1" x14ac:dyDescent="0.2">
      <c r="A172" s="353"/>
      <c r="B172" s="353"/>
      <c r="C172" s="353"/>
      <c r="D172" s="353"/>
      <c r="E172" s="353"/>
      <c r="F172" s="353"/>
      <c r="G172" s="353"/>
      <c r="I172" s="353"/>
      <c r="J172" s="353"/>
      <c r="K172" s="353"/>
      <c r="O172" s="578"/>
    </row>
    <row r="173" spans="1:15" s="352" customFormat="1" x14ac:dyDescent="0.2">
      <c r="A173" s="353"/>
      <c r="B173" s="353"/>
      <c r="C173" s="353"/>
      <c r="D173" s="353"/>
      <c r="E173" s="353"/>
      <c r="F173" s="353"/>
      <c r="G173" s="353"/>
      <c r="I173" s="353"/>
      <c r="J173" s="353"/>
      <c r="K173" s="353"/>
      <c r="O173" s="578"/>
    </row>
    <row r="174" spans="1:15" s="352" customFormat="1" x14ac:dyDescent="0.2">
      <c r="A174" s="353"/>
      <c r="B174" s="353"/>
      <c r="C174" s="353"/>
      <c r="D174" s="353"/>
      <c r="E174" s="353"/>
      <c r="F174" s="353"/>
      <c r="G174" s="353"/>
      <c r="I174" s="353"/>
      <c r="J174" s="353"/>
      <c r="K174" s="353"/>
      <c r="O174" s="578"/>
    </row>
    <row r="175" spans="1:15" s="352" customFormat="1" x14ac:dyDescent="0.2">
      <c r="A175" s="353"/>
      <c r="B175" s="353"/>
      <c r="C175" s="353"/>
      <c r="D175" s="353"/>
      <c r="E175" s="353"/>
      <c r="F175" s="353"/>
      <c r="G175" s="353"/>
      <c r="I175" s="353"/>
      <c r="J175" s="353"/>
      <c r="K175" s="353"/>
      <c r="O175" s="578"/>
    </row>
    <row r="176" spans="1:15" s="352" customFormat="1" x14ac:dyDescent="0.2">
      <c r="A176" s="353"/>
      <c r="B176" s="353"/>
      <c r="C176" s="353"/>
      <c r="D176" s="353"/>
      <c r="E176" s="353"/>
      <c r="F176" s="353"/>
      <c r="G176" s="353"/>
      <c r="I176" s="353"/>
      <c r="J176" s="353"/>
      <c r="K176" s="353"/>
      <c r="O176" s="578"/>
    </row>
    <row r="177" spans="1:15" s="352" customFormat="1" x14ac:dyDescent="0.2">
      <c r="A177" s="353"/>
      <c r="B177" s="353"/>
      <c r="C177" s="353"/>
      <c r="D177" s="353"/>
      <c r="E177" s="353"/>
      <c r="F177" s="353"/>
      <c r="G177" s="353"/>
      <c r="I177" s="353"/>
      <c r="J177" s="353"/>
      <c r="K177" s="353"/>
      <c r="O177" s="578"/>
    </row>
    <row r="178" spans="1:15" s="352" customFormat="1" x14ac:dyDescent="0.2">
      <c r="A178" s="353"/>
      <c r="B178" s="353"/>
      <c r="C178" s="353"/>
      <c r="D178" s="353"/>
      <c r="E178" s="353"/>
      <c r="F178" s="353"/>
      <c r="G178" s="353"/>
      <c r="I178" s="353"/>
      <c r="J178" s="353"/>
      <c r="K178" s="353"/>
      <c r="O178" s="578"/>
    </row>
    <row r="179" spans="1:15" s="352" customFormat="1" x14ac:dyDescent="0.2">
      <c r="A179" s="353"/>
      <c r="B179" s="353"/>
      <c r="C179" s="353"/>
      <c r="D179" s="353"/>
      <c r="E179" s="353"/>
      <c r="F179" s="353"/>
      <c r="G179" s="353"/>
      <c r="I179" s="353"/>
      <c r="J179" s="353"/>
      <c r="K179" s="353"/>
      <c r="O179" s="578"/>
    </row>
    <row r="180" spans="1:15" s="352" customFormat="1" x14ac:dyDescent="0.2">
      <c r="A180" s="353"/>
      <c r="B180" s="353"/>
      <c r="C180" s="353"/>
      <c r="D180" s="353"/>
      <c r="E180" s="353"/>
      <c r="F180" s="353"/>
      <c r="G180" s="353"/>
      <c r="I180" s="353"/>
      <c r="J180" s="353"/>
      <c r="K180" s="353"/>
      <c r="O180" s="578"/>
    </row>
    <row r="181" spans="1:15" s="352" customFormat="1" x14ac:dyDescent="0.2">
      <c r="A181" s="353"/>
      <c r="B181" s="353"/>
      <c r="C181" s="353"/>
      <c r="D181" s="353"/>
      <c r="E181" s="353"/>
      <c r="F181" s="353"/>
      <c r="G181" s="353"/>
      <c r="I181" s="353"/>
      <c r="J181" s="353"/>
      <c r="K181" s="353"/>
      <c r="O181" s="578"/>
    </row>
    <row r="182" spans="1:15" s="352" customFormat="1" x14ac:dyDescent="0.2">
      <c r="A182" s="353"/>
      <c r="B182" s="353"/>
      <c r="C182" s="353"/>
      <c r="D182" s="353"/>
      <c r="E182" s="353"/>
      <c r="F182" s="353"/>
      <c r="G182" s="353"/>
      <c r="I182" s="353"/>
      <c r="J182" s="353"/>
      <c r="K182" s="353"/>
      <c r="O182" s="578"/>
    </row>
    <row r="183" spans="1:15" s="352" customFormat="1" x14ac:dyDescent="0.2">
      <c r="A183" s="353"/>
      <c r="B183" s="353"/>
      <c r="C183" s="353"/>
      <c r="D183" s="353"/>
      <c r="E183" s="353"/>
      <c r="F183" s="353"/>
      <c r="G183" s="353"/>
      <c r="I183" s="353"/>
      <c r="J183" s="353"/>
      <c r="K183" s="353"/>
      <c r="O183" s="578"/>
    </row>
    <row r="184" spans="1:15" s="352" customFormat="1" x14ac:dyDescent="0.2">
      <c r="A184" s="353"/>
      <c r="B184" s="353"/>
      <c r="C184" s="353"/>
      <c r="D184" s="353"/>
      <c r="E184" s="353"/>
      <c r="F184" s="353"/>
      <c r="G184" s="353"/>
      <c r="I184" s="353"/>
      <c r="J184" s="353"/>
      <c r="K184" s="353"/>
      <c r="O184" s="578"/>
    </row>
    <row r="185" spans="1:15" s="352" customFormat="1" x14ac:dyDescent="0.2">
      <c r="A185" s="353"/>
      <c r="B185" s="353"/>
      <c r="C185" s="353"/>
      <c r="D185" s="353"/>
      <c r="E185" s="353"/>
      <c r="F185" s="353"/>
      <c r="G185" s="353"/>
      <c r="I185" s="353"/>
      <c r="J185" s="353"/>
      <c r="K185" s="353"/>
      <c r="O185" s="578"/>
    </row>
    <row r="186" spans="1:15" s="352" customFormat="1" x14ac:dyDescent="0.2">
      <c r="A186" s="353"/>
      <c r="B186" s="353"/>
      <c r="C186" s="353"/>
      <c r="D186" s="353"/>
      <c r="E186" s="353"/>
      <c r="F186" s="353"/>
      <c r="G186" s="353"/>
      <c r="I186" s="353"/>
      <c r="J186" s="353"/>
      <c r="K186" s="353"/>
      <c r="O186" s="578"/>
    </row>
    <row r="187" spans="1:15" s="352" customFormat="1" x14ac:dyDescent="0.2">
      <c r="A187" s="353"/>
      <c r="B187" s="353"/>
      <c r="C187" s="353"/>
      <c r="D187" s="353"/>
      <c r="E187" s="353"/>
      <c r="F187" s="353"/>
      <c r="G187" s="353"/>
      <c r="I187" s="353"/>
      <c r="J187" s="353"/>
      <c r="K187" s="353"/>
      <c r="O187" s="578"/>
    </row>
    <row r="188" spans="1:15" s="352" customFormat="1" x14ac:dyDescent="0.2">
      <c r="A188" s="353"/>
      <c r="B188" s="353"/>
      <c r="C188" s="353"/>
      <c r="D188" s="353"/>
      <c r="E188" s="353"/>
      <c r="F188" s="353"/>
      <c r="G188" s="353"/>
      <c r="I188" s="353"/>
      <c r="J188" s="353"/>
      <c r="K188" s="353"/>
      <c r="O188" s="578"/>
    </row>
    <row r="189" spans="1:15" s="352" customFormat="1" x14ac:dyDescent="0.2">
      <c r="A189" s="353"/>
      <c r="B189" s="353"/>
      <c r="C189" s="353"/>
      <c r="D189" s="353"/>
      <c r="E189" s="353"/>
      <c r="F189" s="353"/>
      <c r="G189" s="353"/>
      <c r="I189" s="353"/>
      <c r="J189" s="353"/>
      <c r="K189" s="353"/>
      <c r="O189" s="578"/>
    </row>
    <row r="190" spans="1:15" s="352" customFormat="1" x14ac:dyDescent="0.2">
      <c r="A190" s="353"/>
      <c r="B190" s="353"/>
      <c r="C190" s="353"/>
      <c r="D190" s="353"/>
      <c r="E190" s="353"/>
      <c r="F190" s="353"/>
      <c r="G190" s="353"/>
      <c r="I190" s="353"/>
      <c r="J190" s="353"/>
      <c r="K190" s="353"/>
      <c r="O190" s="578"/>
    </row>
    <row r="191" spans="1:15" s="352" customFormat="1" x14ac:dyDescent="0.2">
      <c r="A191" s="353"/>
      <c r="B191" s="353"/>
      <c r="C191" s="353"/>
      <c r="D191" s="353"/>
      <c r="E191" s="353"/>
      <c r="F191" s="353"/>
      <c r="G191" s="353"/>
      <c r="I191" s="353"/>
      <c r="J191" s="353"/>
      <c r="K191" s="353"/>
      <c r="O191" s="578"/>
    </row>
    <row r="192" spans="1:15" s="352" customFormat="1" x14ac:dyDescent="0.2">
      <c r="A192" s="353"/>
      <c r="B192" s="353"/>
      <c r="C192" s="353"/>
      <c r="D192" s="353"/>
      <c r="E192" s="353"/>
      <c r="F192" s="353"/>
      <c r="G192" s="353"/>
      <c r="I192" s="353"/>
      <c r="J192" s="353"/>
      <c r="K192" s="353"/>
      <c r="O192" s="578"/>
    </row>
    <row r="193" spans="1:15" s="352" customFormat="1" x14ac:dyDescent="0.2">
      <c r="A193" s="353"/>
      <c r="B193" s="353"/>
      <c r="C193" s="353"/>
      <c r="D193" s="353"/>
      <c r="E193" s="353"/>
      <c r="F193" s="353"/>
      <c r="G193" s="353"/>
      <c r="I193" s="353"/>
      <c r="J193" s="353"/>
      <c r="K193" s="353"/>
      <c r="O193" s="578"/>
    </row>
    <row r="194" spans="1:15" s="352" customFormat="1" x14ac:dyDescent="0.2">
      <c r="A194" s="353"/>
      <c r="B194" s="353"/>
      <c r="C194" s="353"/>
      <c r="D194" s="353"/>
      <c r="E194" s="353"/>
      <c r="F194" s="353"/>
      <c r="G194" s="353"/>
      <c r="I194" s="353"/>
      <c r="J194" s="353"/>
      <c r="K194" s="353"/>
      <c r="O194" s="578"/>
    </row>
    <row r="195" spans="1:15" s="352" customFormat="1" x14ac:dyDescent="0.2">
      <c r="A195" s="353"/>
      <c r="B195" s="353"/>
      <c r="C195" s="353"/>
      <c r="D195" s="353"/>
      <c r="E195" s="353"/>
      <c r="F195" s="353"/>
      <c r="G195" s="353"/>
      <c r="I195" s="353"/>
      <c r="J195" s="353"/>
      <c r="K195" s="353"/>
      <c r="O195" s="578"/>
    </row>
    <row r="196" spans="1:15" s="352" customFormat="1" x14ac:dyDescent="0.2">
      <c r="A196" s="353"/>
      <c r="B196" s="353"/>
      <c r="C196" s="353"/>
      <c r="D196" s="353"/>
      <c r="E196" s="353"/>
      <c r="F196" s="353"/>
      <c r="G196" s="353"/>
      <c r="I196" s="353"/>
      <c r="J196" s="353"/>
      <c r="K196" s="353"/>
      <c r="O196" s="578"/>
    </row>
    <row r="197" spans="1:15" s="352" customFormat="1" x14ac:dyDescent="0.2">
      <c r="A197" s="353"/>
      <c r="B197" s="353"/>
      <c r="C197" s="353"/>
      <c r="D197" s="353"/>
      <c r="E197" s="353"/>
      <c r="F197" s="353"/>
      <c r="G197" s="353"/>
      <c r="I197" s="353"/>
      <c r="J197" s="353"/>
      <c r="K197" s="353"/>
      <c r="O197" s="578"/>
    </row>
    <row r="198" spans="1:15" s="352" customFormat="1" x14ac:dyDescent="0.2">
      <c r="A198" s="353"/>
      <c r="B198" s="353"/>
      <c r="C198" s="353"/>
      <c r="D198" s="353"/>
      <c r="E198" s="353"/>
      <c r="F198" s="353"/>
      <c r="G198" s="353"/>
      <c r="I198" s="353"/>
      <c r="J198" s="353"/>
      <c r="K198" s="353"/>
      <c r="O198" s="578"/>
    </row>
    <row r="199" spans="1:15" s="352" customFormat="1" x14ac:dyDescent="0.2">
      <c r="A199" s="353"/>
      <c r="B199" s="353"/>
      <c r="C199" s="353"/>
      <c r="D199" s="353"/>
      <c r="E199" s="353"/>
      <c r="F199" s="353"/>
      <c r="G199" s="353"/>
      <c r="I199" s="353"/>
      <c r="J199" s="353"/>
      <c r="K199" s="353"/>
      <c r="O199" s="578"/>
    </row>
    <row r="200" spans="1:15" s="352" customFormat="1" x14ac:dyDescent="0.2">
      <c r="A200" s="353"/>
      <c r="B200" s="353"/>
      <c r="C200" s="353"/>
      <c r="D200" s="353"/>
      <c r="E200" s="353"/>
      <c r="F200" s="353"/>
      <c r="G200" s="353"/>
      <c r="I200" s="353"/>
      <c r="J200" s="353"/>
      <c r="K200" s="353"/>
      <c r="O200" s="578"/>
    </row>
    <row r="201" spans="1:15" s="352" customFormat="1" x14ac:dyDescent="0.2">
      <c r="A201" s="353"/>
      <c r="B201" s="353"/>
      <c r="C201" s="353"/>
      <c r="D201" s="353"/>
      <c r="E201" s="353"/>
      <c r="F201" s="353"/>
      <c r="G201" s="353"/>
      <c r="I201" s="353"/>
      <c r="J201" s="353"/>
      <c r="K201" s="353"/>
      <c r="O201" s="578"/>
    </row>
    <row r="202" spans="1:15" s="352" customFormat="1" x14ac:dyDescent="0.2">
      <c r="A202" s="353"/>
      <c r="B202" s="353"/>
      <c r="C202" s="353"/>
      <c r="D202" s="353"/>
      <c r="E202" s="353"/>
      <c r="F202" s="353"/>
      <c r="G202" s="353"/>
      <c r="I202" s="353"/>
      <c r="J202" s="353"/>
      <c r="K202" s="353"/>
      <c r="O202" s="578"/>
    </row>
    <row r="203" spans="1:15" s="352" customFormat="1" x14ac:dyDescent="0.2">
      <c r="A203" s="353"/>
      <c r="B203" s="353"/>
      <c r="C203" s="353"/>
      <c r="D203" s="353"/>
      <c r="E203" s="353"/>
      <c r="F203" s="353"/>
      <c r="G203" s="353"/>
      <c r="I203" s="353"/>
      <c r="J203" s="353"/>
      <c r="K203" s="353"/>
      <c r="O203" s="578"/>
    </row>
    <row r="204" spans="1:15" s="352" customFormat="1" x14ac:dyDescent="0.2">
      <c r="A204" s="353"/>
      <c r="B204" s="353"/>
      <c r="C204" s="353"/>
      <c r="D204" s="353"/>
      <c r="E204" s="353"/>
      <c r="F204" s="353"/>
      <c r="G204" s="353"/>
      <c r="I204" s="353"/>
      <c r="J204" s="353"/>
      <c r="K204" s="353"/>
      <c r="O204" s="578"/>
    </row>
    <row r="205" spans="1:15" s="352" customFormat="1" x14ac:dyDescent="0.2">
      <c r="A205" s="353"/>
      <c r="B205" s="353"/>
      <c r="C205" s="353"/>
      <c r="D205" s="353"/>
      <c r="E205" s="353"/>
      <c r="F205" s="353"/>
      <c r="G205" s="353"/>
      <c r="I205" s="353"/>
      <c r="J205" s="353"/>
      <c r="K205" s="353"/>
      <c r="O205" s="578"/>
    </row>
    <row r="206" spans="1:15" s="352" customFormat="1" x14ac:dyDescent="0.2">
      <c r="A206" s="353"/>
      <c r="B206" s="353"/>
      <c r="C206" s="353"/>
      <c r="D206" s="353"/>
      <c r="E206" s="353"/>
      <c r="F206" s="353"/>
      <c r="G206" s="353"/>
      <c r="I206" s="353"/>
      <c r="J206" s="353"/>
      <c r="K206" s="353"/>
      <c r="O206" s="578"/>
    </row>
    <row r="207" spans="1:15" s="352" customFormat="1" x14ac:dyDescent="0.2">
      <c r="A207" s="353"/>
      <c r="B207" s="353"/>
      <c r="C207" s="353"/>
      <c r="D207" s="353"/>
      <c r="E207" s="353"/>
      <c r="F207" s="353"/>
      <c r="G207" s="353"/>
      <c r="I207" s="353"/>
      <c r="J207" s="353"/>
      <c r="K207" s="353"/>
      <c r="O207" s="578"/>
    </row>
    <row r="208" spans="1:15" s="352" customFormat="1" x14ac:dyDescent="0.2">
      <c r="A208" s="353"/>
      <c r="B208" s="353"/>
      <c r="C208" s="353"/>
      <c r="D208" s="353"/>
      <c r="E208" s="353"/>
      <c r="F208" s="353"/>
      <c r="G208" s="353"/>
      <c r="I208" s="353"/>
      <c r="J208" s="353"/>
      <c r="K208" s="353"/>
      <c r="O208" s="578"/>
    </row>
    <row r="209" spans="1:15" s="352" customFormat="1" x14ac:dyDescent="0.2">
      <c r="A209" s="353"/>
      <c r="B209" s="353"/>
      <c r="C209" s="353"/>
      <c r="D209" s="353"/>
      <c r="E209" s="353"/>
      <c r="F209" s="353"/>
      <c r="G209" s="353"/>
      <c r="I209" s="353"/>
      <c r="J209" s="353"/>
      <c r="K209" s="353"/>
      <c r="O209" s="578"/>
    </row>
    <row r="210" spans="1:15" s="352" customFormat="1" x14ac:dyDescent="0.2">
      <c r="A210" s="353"/>
      <c r="B210" s="353"/>
      <c r="C210" s="353"/>
      <c r="D210" s="353"/>
      <c r="E210" s="353"/>
      <c r="F210" s="353"/>
      <c r="G210" s="353"/>
      <c r="I210" s="353"/>
      <c r="J210" s="353"/>
      <c r="K210" s="353"/>
      <c r="O210" s="578"/>
    </row>
    <row r="211" spans="1:15" s="352" customFormat="1" x14ac:dyDescent="0.2">
      <c r="A211" s="353"/>
      <c r="B211" s="353"/>
      <c r="C211" s="353"/>
      <c r="D211" s="353"/>
      <c r="E211" s="353"/>
      <c r="F211" s="353"/>
      <c r="G211" s="353"/>
      <c r="I211" s="353"/>
      <c r="J211" s="353"/>
      <c r="K211" s="353"/>
      <c r="O211" s="578"/>
    </row>
    <row r="212" spans="1:15" s="352" customFormat="1" x14ac:dyDescent="0.2">
      <c r="A212" s="353"/>
      <c r="B212" s="353"/>
      <c r="C212" s="353"/>
      <c r="D212" s="353"/>
      <c r="E212" s="353"/>
      <c r="F212" s="353"/>
      <c r="G212" s="353"/>
      <c r="I212" s="353"/>
      <c r="J212" s="353"/>
      <c r="K212" s="353"/>
      <c r="O212" s="578"/>
    </row>
    <row r="213" spans="1:15" s="352" customFormat="1" x14ac:dyDescent="0.2">
      <c r="A213" s="353"/>
      <c r="B213" s="353"/>
      <c r="C213" s="353"/>
      <c r="D213" s="353"/>
      <c r="E213" s="353"/>
      <c r="F213" s="353"/>
      <c r="G213" s="353"/>
      <c r="I213" s="353"/>
      <c r="J213" s="353"/>
      <c r="K213" s="353"/>
      <c r="O213" s="578"/>
    </row>
    <row r="214" spans="1:15" s="352" customFormat="1" x14ac:dyDescent="0.2">
      <c r="A214" s="353"/>
      <c r="B214" s="353"/>
      <c r="C214" s="353"/>
      <c r="D214" s="353"/>
      <c r="E214" s="353"/>
      <c r="F214" s="353"/>
      <c r="G214" s="353"/>
      <c r="I214" s="353"/>
      <c r="J214" s="353"/>
      <c r="K214" s="353"/>
      <c r="O214" s="578"/>
    </row>
    <row r="215" spans="1:15" s="352" customFormat="1" x14ac:dyDescent="0.2">
      <c r="A215" s="353"/>
      <c r="B215" s="353"/>
      <c r="C215" s="353"/>
      <c r="D215" s="353"/>
      <c r="E215" s="353"/>
      <c r="F215" s="353"/>
      <c r="G215" s="353"/>
      <c r="I215" s="353"/>
      <c r="J215" s="353"/>
      <c r="K215" s="353"/>
      <c r="O215" s="578"/>
    </row>
    <row r="216" spans="1:15" s="352" customFormat="1" x14ac:dyDescent="0.2">
      <c r="A216" s="353"/>
      <c r="B216" s="353"/>
      <c r="C216" s="353"/>
      <c r="D216" s="353"/>
      <c r="E216" s="353"/>
      <c r="F216" s="353"/>
      <c r="G216" s="353"/>
      <c r="I216" s="353"/>
      <c r="J216" s="353"/>
      <c r="K216" s="353"/>
      <c r="O216" s="578"/>
    </row>
    <row r="217" spans="1:15" s="352" customFormat="1" x14ac:dyDescent="0.2">
      <c r="A217" s="353"/>
      <c r="B217" s="353"/>
      <c r="C217" s="353"/>
      <c r="D217" s="353"/>
      <c r="E217" s="353"/>
      <c r="F217" s="353"/>
      <c r="G217" s="353"/>
      <c r="I217" s="353"/>
      <c r="J217" s="353"/>
      <c r="K217" s="353"/>
      <c r="O217" s="578"/>
    </row>
    <row r="218" spans="1:15" s="352" customFormat="1" x14ac:dyDescent="0.2">
      <c r="A218" s="353"/>
      <c r="B218" s="353"/>
      <c r="C218" s="353"/>
      <c r="D218" s="353"/>
      <c r="E218" s="353"/>
      <c r="F218" s="353"/>
      <c r="G218" s="353"/>
      <c r="I218" s="353"/>
      <c r="J218" s="353"/>
      <c r="K218" s="353"/>
      <c r="O218" s="578"/>
    </row>
    <row r="219" spans="1:15" s="352" customFormat="1" x14ac:dyDescent="0.2">
      <c r="A219" s="353"/>
      <c r="B219" s="353"/>
      <c r="C219" s="353"/>
      <c r="D219" s="353"/>
      <c r="E219" s="353"/>
      <c r="F219" s="353"/>
      <c r="G219" s="353"/>
      <c r="I219" s="353"/>
      <c r="J219" s="353"/>
      <c r="K219" s="353"/>
      <c r="O219" s="578"/>
    </row>
    <row r="220" spans="1:15" s="352" customFormat="1" x14ac:dyDescent="0.2">
      <c r="A220" s="353"/>
      <c r="B220" s="353"/>
      <c r="C220" s="353"/>
      <c r="D220" s="353"/>
      <c r="E220" s="353"/>
      <c r="F220" s="353"/>
      <c r="G220" s="353"/>
      <c r="I220" s="353"/>
      <c r="J220" s="353"/>
      <c r="K220" s="353"/>
      <c r="O220" s="578"/>
    </row>
    <row r="221" spans="1:15" s="352" customFormat="1" x14ac:dyDescent="0.2">
      <c r="A221" s="353"/>
      <c r="B221" s="353"/>
      <c r="C221" s="353"/>
      <c r="D221" s="353"/>
      <c r="E221" s="353"/>
      <c r="F221" s="353"/>
      <c r="G221" s="353"/>
      <c r="I221" s="353"/>
      <c r="J221" s="353"/>
      <c r="K221" s="353"/>
      <c r="O221" s="578"/>
    </row>
    <row r="222" spans="1:15" s="352" customFormat="1" x14ac:dyDescent="0.2">
      <c r="A222" s="353"/>
      <c r="B222" s="353"/>
      <c r="C222" s="353"/>
      <c r="D222" s="353"/>
      <c r="E222" s="353"/>
      <c r="F222" s="353"/>
      <c r="G222" s="353"/>
      <c r="I222" s="353"/>
      <c r="J222" s="353"/>
      <c r="K222" s="353"/>
      <c r="O222" s="578"/>
    </row>
    <row r="223" spans="1:15" s="352" customFormat="1" x14ac:dyDescent="0.2">
      <c r="A223" s="353"/>
      <c r="B223" s="353"/>
      <c r="C223" s="353"/>
      <c r="D223" s="353"/>
      <c r="E223" s="353"/>
      <c r="F223" s="353"/>
      <c r="G223" s="353"/>
      <c r="I223" s="353"/>
      <c r="J223" s="353"/>
      <c r="K223" s="353"/>
      <c r="O223" s="578"/>
    </row>
    <row r="224" spans="1:15" s="352" customFormat="1" x14ac:dyDescent="0.2">
      <c r="A224" s="353"/>
      <c r="B224" s="353"/>
      <c r="C224" s="353"/>
      <c r="D224" s="353"/>
      <c r="E224" s="353"/>
      <c r="F224" s="353"/>
      <c r="G224" s="353"/>
      <c r="I224" s="353"/>
      <c r="J224" s="353"/>
      <c r="K224" s="353"/>
      <c r="O224" s="578"/>
    </row>
    <row r="225" spans="1:15" s="352" customFormat="1" x14ac:dyDescent="0.2">
      <c r="A225" s="353"/>
      <c r="B225" s="353"/>
      <c r="C225" s="353"/>
      <c r="D225" s="353"/>
      <c r="E225" s="353"/>
      <c r="F225" s="353"/>
      <c r="G225" s="353"/>
      <c r="I225" s="353"/>
      <c r="J225" s="353"/>
      <c r="K225" s="353"/>
      <c r="O225" s="578"/>
    </row>
    <row r="226" spans="1:15" s="352" customFormat="1" x14ac:dyDescent="0.2">
      <c r="A226" s="353"/>
      <c r="B226" s="353"/>
      <c r="C226" s="353"/>
      <c r="D226" s="353"/>
      <c r="E226" s="353"/>
      <c r="F226" s="353"/>
      <c r="G226" s="353"/>
      <c r="I226" s="353"/>
      <c r="J226" s="353"/>
      <c r="K226" s="353"/>
      <c r="O226" s="578"/>
    </row>
    <row r="227" spans="1:15" s="352" customFormat="1" x14ac:dyDescent="0.2">
      <c r="A227" s="353"/>
      <c r="B227" s="353"/>
      <c r="C227" s="353"/>
      <c r="D227" s="353"/>
      <c r="E227" s="353"/>
      <c r="F227" s="353"/>
      <c r="G227" s="353"/>
      <c r="I227" s="353"/>
      <c r="J227" s="353"/>
      <c r="K227" s="353"/>
      <c r="O227" s="578"/>
    </row>
    <row r="228" spans="1:15" s="352" customFormat="1" x14ac:dyDescent="0.2">
      <c r="A228" s="353"/>
      <c r="B228" s="353"/>
      <c r="C228" s="353"/>
      <c r="D228" s="353"/>
      <c r="E228" s="353"/>
      <c r="F228" s="353"/>
      <c r="G228" s="353"/>
      <c r="I228" s="353"/>
      <c r="J228" s="353"/>
      <c r="K228" s="353"/>
      <c r="O228" s="578"/>
    </row>
    <row r="229" spans="1:15" s="352" customFormat="1" x14ac:dyDescent="0.2">
      <c r="A229" s="353"/>
      <c r="B229" s="353"/>
      <c r="C229" s="353"/>
      <c r="D229" s="353"/>
      <c r="E229" s="353"/>
      <c r="F229" s="353"/>
      <c r="G229" s="353"/>
      <c r="I229" s="353"/>
      <c r="J229" s="353"/>
      <c r="K229" s="353"/>
      <c r="O229" s="578"/>
    </row>
    <row r="230" spans="1:15" s="352" customFormat="1" x14ac:dyDescent="0.2">
      <c r="A230" s="353"/>
      <c r="B230" s="353"/>
      <c r="C230" s="353"/>
      <c r="D230" s="353"/>
      <c r="E230" s="353"/>
      <c r="F230" s="353"/>
      <c r="G230" s="353"/>
      <c r="I230" s="353"/>
      <c r="J230" s="353"/>
      <c r="K230" s="353"/>
      <c r="O230" s="578"/>
    </row>
    <row r="231" spans="1:15" s="352" customFormat="1" x14ac:dyDescent="0.2">
      <c r="A231" s="353"/>
      <c r="B231" s="353"/>
      <c r="C231" s="353"/>
      <c r="D231" s="353"/>
      <c r="E231" s="353"/>
      <c r="F231" s="353"/>
      <c r="G231" s="353"/>
      <c r="I231" s="353"/>
      <c r="J231" s="353"/>
      <c r="K231" s="353"/>
      <c r="O231" s="578"/>
    </row>
    <row r="232" spans="1:15" s="352" customFormat="1" x14ac:dyDescent="0.2">
      <c r="A232" s="353"/>
      <c r="B232" s="353"/>
      <c r="C232" s="353"/>
      <c r="D232" s="353"/>
      <c r="E232" s="353"/>
      <c r="F232" s="353"/>
      <c r="G232" s="353"/>
      <c r="I232" s="353"/>
      <c r="J232" s="353"/>
      <c r="K232" s="353"/>
      <c r="O232" s="578"/>
    </row>
    <row r="233" spans="1:15" s="352" customFormat="1" x14ac:dyDescent="0.2">
      <c r="A233" s="353"/>
      <c r="B233" s="353"/>
      <c r="C233" s="353"/>
      <c r="D233" s="353"/>
      <c r="E233" s="353"/>
      <c r="F233" s="353"/>
      <c r="G233" s="353"/>
      <c r="I233" s="353"/>
      <c r="J233" s="353"/>
      <c r="K233" s="353"/>
      <c r="O233" s="578"/>
    </row>
  </sheetData>
  <sheetProtection algorithmName="SHA-512" hashValue="ZAxz6S88mvsWVxzFYmMBQHfS+nFQGDdhWT/wJThnq9fu0NW8ezHXjl8/KynDD+OKqEBvJ8UCBgUUtYgd/yIrQg==" saltValue="FuJzXO3KGLTpNQnr4Twinw==" spinCount="100000" sheet="1" objects="1" scenarios="1" formatColumns="0" formatRows="0" sort="0" autoFilter="0"/>
  <autoFilter ref="A38:Q54"/>
  <mergeCells count="5">
    <mergeCell ref="A71:B71"/>
    <mergeCell ref="A56:B56"/>
    <mergeCell ref="A1:G1"/>
    <mergeCell ref="D3:E3"/>
    <mergeCell ref="D4:E4"/>
  </mergeCells>
  <conditionalFormatting sqref="G38">
    <cfRule type="expression" dxfId="106" priority="36">
      <formula>OR(AND(F38&gt;0.95,F38&lt;1.05),AND(C38=0,D38=0))</formula>
    </cfRule>
  </conditionalFormatting>
  <conditionalFormatting sqref="C74:D74">
    <cfRule type="expression" dxfId="105" priority="37">
      <formula>C74="WARNING - Sum of the three tables not matching"</formula>
    </cfRule>
  </conditionalFormatting>
  <conditionalFormatting sqref="G70">
    <cfRule type="expression" dxfId="104" priority="35">
      <formula>OR(AND(F70&gt;0.95,F70&lt;1.05),F70="N/A")</formula>
    </cfRule>
  </conditionalFormatting>
  <conditionalFormatting sqref="I74:J74">
    <cfRule type="expression" dxfId="103" priority="32">
      <formula>I74="WARNING - Sum of the three tables not matching"</formula>
    </cfRule>
  </conditionalFormatting>
  <conditionalFormatting sqref="G23:G24">
    <cfRule type="expression" dxfId="102" priority="30">
      <formula>OR(AND(F23&gt;0.95,F23&lt;1.05),F23="N/A")</formula>
    </cfRule>
  </conditionalFormatting>
  <conditionalFormatting sqref="G32:G37">
    <cfRule type="expression" dxfId="101" priority="29">
      <formula>OR(AND(F32&gt;0.95,F32&lt;1.05),F32="N/A")</formula>
    </cfRule>
  </conditionalFormatting>
  <conditionalFormatting sqref="G61:G64 G66:G69">
    <cfRule type="expression" dxfId="100" priority="28">
      <formula>OR(AND(F61&gt;0.95,F61&lt;1.05),F61="N/A")</formula>
    </cfRule>
  </conditionalFormatting>
  <conditionalFormatting sqref="G39:G54">
    <cfRule type="expression" dxfId="99" priority="22">
      <formula>OR(AND(F39&gt;0.95,F39&lt;1.05),F39="N/A")</formula>
    </cfRule>
  </conditionalFormatting>
  <conditionalFormatting sqref="G25">
    <cfRule type="expression" dxfId="98" priority="18">
      <formula>OR(AND(F25&gt;0.95,F25&lt;1.05),F25="N/A")</formula>
    </cfRule>
  </conditionalFormatting>
  <conditionalFormatting sqref="G8:G21">
    <cfRule type="expression" dxfId="97" priority="13">
      <formula>OR(AND(F8&gt;0.95,F8&lt;1.05),F8="N/A")</formula>
    </cfRule>
  </conditionalFormatting>
  <conditionalFormatting sqref="G65">
    <cfRule type="expression" dxfId="96" priority="1">
      <formula>OR(AND(F65&gt;0.95,F65&lt;1.05),F65="N/A")</formula>
    </cfRule>
  </conditionalFormatting>
  <dataValidations count="10">
    <dataValidation type="list" allowBlank="1" showInputMessage="1" showErrorMessage="1" sqref="B61:B70">
      <formula1>#REF!</formula1>
    </dataValidation>
    <dataValidation type="list" allowBlank="1" showInputMessage="1" showErrorMessage="1" sqref="A39:A54">
      <formula1>Module_List</formula1>
    </dataValidation>
    <dataValidation type="list" allowBlank="1" showInputMessage="1" showErrorMessage="1" sqref="B39:B54">
      <formula1>OFFSET(ModuleStart,MATCH(O39,ModuleColumn,0)-1,3,COUNTIF(ModuleColumn,O39),1)</formula1>
    </dataValidation>
    <dataValidation type="list" allowBlank="1" showInputMessage="1" showErrorMessage="1" sqref="A25">
      <formula1>Cost_Input</formula1>
    </dataValidation>
    <dataValidation type="decimal" allowBlank="1" showInputMessage="1" showErrorMessage="1" errorTitle="X-Author for Excel" error="Please enter a valid numeric value. Valid range for Budget for Reporting Period is -9999999999.99 to 9999999999.99." promptTitle="X-Author for Excel" sqref="C8:C21 C32:C37 C61:C69 C39:C54">
      <formula1>-9999999999.99</formula1>
      <formula2>9999999999.99</formula2>
    </dataValidation>
    <dataValidation type="decimal" allowBlank="1" showInputMessage="1" showErrorMessage="1" errorTitle="X-Author for Excel" error="Please enter a valid numeric value. Valid range for PR Actual Expenditure is -9999999999.99 to 9999999999.99." promptTitle="X-Author for Excel" sqref="D8:D21 D32:D37 D61:D69 D39:D54">
      <formula1>-9999999999.99</formula1>
      <formula2>9999999999.99</formula2>
    </dataValidation>
    <dataValidation type="decimal" allowBlank="1" showInputMessage="1" showErrorMessage="1" errorTitle="X-Author for Excel" error="Please enter a valid numeric value. Valid range for Cumulative Budget is -9999999999.99 to 9999999999.99." promptTitle="X-Author for Excel" sqref="I8:I21 I32:I37 I61:I69 I39:I54">
      <formula1>-9999999999.99</formula1>
      <formula2>9999999999.99</formula2>
    </dataValidation>
    <dataValidation type="decimal" allowBlank="1" showInputMessage="1" showErrorMessage="1" errorTitle="X-Author for Excel" error="Please enter a valid numeric value. Valid range for PR Cumulative Expenditures is -9999999999.99 to 9999999999.99." promptTitle="X-Author for Excel" sqref="J8:J21 J32:J37 J61:J69 J39:J54">
      <formula1>-9999999999.99</formula1>
      <formula2>9999999999.99</formula2>
    </dataValidation>
    <dataValidation type="custom" allowBlank="1" showInputMessage="1" showErrorMessage="1" errorTitle="X-Author for Excel" error="Id and Lookup fields are not editable." promptTitle="X-Author for Excel" sqref="O8:O21 O32:O37 O61:O69 Q39:Q54">
      <formula1>""</formula1>
    </dataValidation>
    <dataValidation type="decimal" allowBlank="1" showInputMessage="1" showErrorMessage="1" errorTitle="X-Author for Excel" error="Please enter a valid numeric value. Valid range for Cost Grouping Number is -99999 to 99999." promptTitle="X-Author for Excel" sqref="P8:P21">
      <formula1>-99999</formula1>
      <formula2>99999</formula2>
    </dataValidation>
  </dataValidations>
  <printOptions horizontalCentered="1"/>
  <pageMargins left="0.25" right="0.25" top="0.75" bottom="0.75" header="0.3" footer="0.3"/>
  <pageSetup paperSize="9" scale="36" orientation="landscape" r:id="rId1"/>
  <headerFooter>
    <oddFooter>&amp;L&amp;A&amp;R&amp;P</oddFooter>
  </headerFooter>
  <extLst>
    <ext xmlns:x14="http://schemas.microsoft.com/office/spreadsheetml/2009/9/main" uri="{78C0D931-6437-407d-A8EE-F0AAD7539E65}">
      <x14:conditionalFormattings>
        <x14:conditionalFormatting xmlns:xm="http://schemas.microsoft.com/office/excel/2006/main">
          <x14:cfRule type="expression" priority="31" id="{DCB85AFE-B48A-420D-A0B8-0812905252C9}">
            <xm:f>CoverSheet!$D$11="EUR"</xm:f>
            <x14:dxf>
              <numFmt numFmtId="184" formatCode="[$€-2]\ #,##0;[Red]\-[$€-2]\ #,##0"/>
            </x14:dxf>
          </x14:cfRule>
          <xm:sqref>C39:C54 C23:E24 C27:E27 I23:K24 I27:K27 C32:E32 I32:K32 C61:E71 I61:K71 C38:E38 C33:C37 E33:E37 I36:K38 I33:I35 K33:K35</xm:sqref>
        </x14:conditionalFormatting>
        <x14:conditionalFormatting xmlns:xm="http://schemas.microsoft.com/office/excel/2006/main">
          <x14:cfRule type="expression" priority="27" id="{2665DD1E-7E8B-4F11-9D40-3F4BD132EF7C}">
            <xm:f>CoverSheet!$D$11="EUR"</xm:f>
            <x14:dxf>
              <numFmt numFmtId="184" formatCode="[$€-2]\ #,##0;[Red]\-[$€-2]\ #,##0"/>
            </x14:dxf>
          </x14:cfRule>
          <xm:sqref>C56:H56</xm:sqref>
        </x14:conditionalFormatting>
        <x14:conditionalFormatting xmlns:xm="http://schemas.microsoft.com/office/excel/2006/main">
          <x14:cfRule type="expression" priority="26" id="{7B2AC184-9962-416E-8AC8-AC769179026A}">
            <xm:f>CoverSheet!$D$11="EUR"</xm:f>
            <x14:dxf>
              <numFmt numFmtId="184" formatCode="[$€-2]\ #,##0;[Red]\-[$€-2]\ #,##0"/>
            </x14:dxf>
          </x14:cfRule>
          <xm:sqref>I56:K56</xm:sqref>
        </x14:conditionalFormatting>
        <x14:conditionalFormatting xmlns:xm="http://schemas.microsoft.com/office/excel/2006/main">
          <x14:cfRule type="expression" priority="25" id="{B3CE2EC6-00A7-4A38-AC4E-37ACA221AAD6}">
            <xm:f>CoverSheet!$D$11="EUR"</xm:f>
            <x14:dxf>
              <numFmt numFmtId="184" formatCode="[$€-2]\ #,##0;[Red]\-[$€-2]\ #,##0"/>
            </x14:dxf>
          </x14:cfRule>
          <xm:sqref>H39:I54 E39:F54 K39:L54</xm:sqref>
        </x14:conditionalFormatting>
        <x14:conditionalFormatting xmlns:xm="http://schemas.microsoft.com/office/excel/2006/main">
          <x14:cfRule type="expression" priority="24" id="{1C6A0A3B-D011-4E48-A561-2E060E312E48}">
            <xm:f>CoverSheet!$D$11="EUR"</xm:f>
            <x14:dxf>
              <numFmt numFmtId="184" formatCode="[$€-2]\ #,##0;[Red]\-[$€-2]\ #,##0"/>
            </x14:dxf>
          </x14:cfRule>
          <xm:sqref>D39:D54</xm:sqref>
        </x14:conditionalFormatting>
        <x14:conditionalFormatting xmlns:xm="http://schemas.microsoft.com/office/excel/2006/main">
          <x14:cfRule type="expression" priority="23" id="{462C6318-6CAF-46E2-BF54-BD7A7672A2C5}">
            <xm:f>CoverSheet!$D$11="EUR"</xm:f>
            <x14:dxf>
              <numFmt numFmtId="184" formatCode="[$€-2]\ #,##0;[Red]\-[$€-2]\ #,##0"/>
            </x14:dxf>
          </x14:cfRule>
          <xm:sqref>J39:J54</xm:sqref>
        </x14:conditionalFormatting>
        <x14:conditionalFormatting xmlns:xm="http://schemas.microsoft.com/office/excel/2006/main">
          <x14:cfRule type="expression" priority="17" id="{96CF982E-4441-4B60-BA88-52147BD2559A}">
            <xm:f>CoverSheet!$D$11="EUR"</xm:f>
            <x14:dxf>
              <numFmt numFmtId="184" formatCode="[$€-2]\ #,##0;[Red]\-[$€-2]\ #,##0"/>
            </x14:dxf>
          </x14:cfRule>
          <xm:sqref>E25</xm:sqref>
        </x14:conditionalFormatting>
        <x14:conditionalFormatting xmlns:xm="http://schemas.microsoft.com/office/excel/2006/main">
          <x14:cfRule type="expression" priority="19" id="{9E978640-50DB-4C85-92D6-C3A7D900E49A}">
            <xm:f>CoverSheet!$D$11="EUR"</xm:f>
            <x14:dxf>
              <numFmt numFmtId="184" formatCode="[$€-2]\ #,##0;[Red]\-[$€-2]\ #,##0"/>
            </x14:dxf>
          </x14:cfRule>
          <xm:sqref>I25:J25 D25</xm:sqref>
        </x14:conditionalFormatting>
        <x14:conditionalFormatting xmlns:xm="http://schemas.microsoft.com/office/excel/2006/main">
          <x14:cfRule type="expression" priority="16" id="{D5376C26-539D-4404-BD05-C67617841A09}">
            <xm:f>CoverSheet!$D$11="EUR"</xm:f>
            <x14:dxf>
              <numFmt numFmtId="184" formatCode="[$€-2]\ #,##0;[Red]\-[$€-2]\ #,##0"/>
            </x14:dxf>
          </x14:cfRule>
          <xm:sqref>K25</xm:sqref>
        </x14:conditionalFormatting>
        <x14:conditionalFormatting xmlns:xm="http://schemas.microsoft.com/office/excel/2006/main">
          <x14:cfRule type="expression" priority="15" id="{5EAAE121-6898-498E-B4ED-0876615BC091}">
            <xm:f>CoverSheet!$D$11="EUR"</xm:f>
            <x14:dxf>
              <numFmt numFmtId="184" formatCode="[$€-2]\ #,##0;[Red]\-[$€-2]\ #,##0"/>
            </x14:dxf>
          </x14:cfRule>
          <xm:sqref>C25</xm:sqref>
        </x14:conditionalFormatting>
        <x14:conditionalFormatting xmlns:xm="http://schemas.microsoft.com/office/excel/2006/main">
          <x14:cfRule type="expression" priority="14" id="{EA107971-B90A-4652-B8EF-71DFE3A38D65}">
            <xm:f>CoverSheet!$D$11="EUR"</xm:f>
            <x14:dxf>
              <numFmt numFmtId="184" formatCode="[$€-2]\ #,##0;[Red]\-[$€-2]\ #,##0"/>
            </x14:dxf>
          </x14:cfRule>
          <xm:sqref>C8:D21 I8:J21</xm:sqref>
        </x14:conditionalFormatting>
        <x14:conditionalFormatting xmlns:xm="http://schemas.microsoft.com/office/excel/2006/main">
          <x14:cfRule type="expression" priority="12" id="{D5ADC0D6-BE64-4F8A-98CB-8DB02D4F2483}">
            <xm:f>CoverSheet!$D$11="EUR"</xm:f>
            <x14:dxf>
              <numFmt numFmtId="184" formatCode="[$€-2]\ #,##0;[Red]\-[$€-2]\ #,##0"/>
            </x14:dxf>
          </x14:cfRule>
          <xm:sqref>E8:E21</xm:sqref>
        </x14:conditionalFormatting>
        <x14:conditionalFormatting xmlns:xm="http://schemas.microsoft.com/office/excel/2006/main">
          <x14:cfRule type="expression" priority="11" id="{303CF486-DDEC-4521-9C20-7D68536A4953}">
            <xm:f>CoverSheet!$D$11="EUR"</xm:f>
            <x14:dxf>
              <numFmt numFmtId="184" formatCode="[$€-2]\ #,##0;[Red]\-[$€-2]\ #,##0"/>
            </x14:dxf>
          </x14:cfRule>
          <xm:sqref>K8:K21</xm:sqref>
        </x14:conditionalFormatting>
        <x14:conditionalFormatting xmlns:xm="http://schemas.microsoft.com/office/excel/2006/main">
          <x14:cfRule type="expression" priority="10" id="{AFCDC83B-D3EE-47B9-8C22-2F1D5A17D7D8}">
            <xm:f>CoverSheet!$D$11="EUR"</xm:f>
            <x14:dxf>
              <numFmt numFmtId="184" formatCode="[$€-2]\ #,##0;[Red]\-[$€-2]\ #,##0"/>
            </x14:dxf>
          </x14:cfRule>
          <xm:sqref>D34</xm:sqref>
        </x14:conditionalFormatting>
        <x14:conditionalFormatting xmlns:xm="http://schemas.microsoft.com/office/excel/2006/main">
          <x14:cfRule type="expression" priority="9" id="{93FDFA54-3B4F-47A4-A717-365A4A0B090D}">
            <xm:f>CoverSheet!$D$11="EUR"</xm:f>
            <x14:dxf>
              <numFmt numFmtId="184" formatCode="[$€-2]\ #,##0;[Red]\-[$€-2]\ #,##0"/>
            </x14:dxf>
          </x14:cfRule>
          <xm:sqref>D33</xm:sqref>
        </x14:conditionalFormatting>
        <x14:conditionalFormatting xmlns:xm="http://schemas.microsoft.com/office/excel/2006/main">
          <x14:cfRule type="expression" priority="8" id="{61F12F3F-07EB-4F87-B1E2-83BAFFB1EE20}">
            <xm:f>CoverSheet!$D$11="EUR"</xm:f>
            <x14:dxf>
              <numFmt numFmtId="184" formatCode="[$€-2]\ #,##0;[Red]\-[$€-2]\ #,##0"/>
            </x14:dxf>
          </x14:cfRule>
          <xm:sqref>D35</xm:sqref>
        </x14:conditionalFormatting>
        <x14:conditionalFormatting xmlns:xm="http://schemas.microsoft.com/office/excel/2006/main">
          <x14:cfRule type="expression" priority="7" id="{2AA7DBB2-80E7-48DE-82FA-7E16AE0C227A}">
            <xm:f>CoverSheet!$D$11="EUR"</xm:f>
            <x14:dxf>
              <numFmt numFmtId="184" formatCode="[$€-2]\ #,##0;[Red]\-[$€-2]\ #,##0"/>
            </x14:dxf>
          </x14:cfRule>
          <xm:sqref>D36</xm:sqref>
        </x14:conditionalFormatting>
        <x14:conditionalFormatting xmlns:xm="http://schemas.microsoft.com/office/excel/2006/main">
          <x14:cfRule type="expression" priority="6" id="{A4168048-4D30-4CCF-AF83-8A613B2FD5A4}">
            <xm:f>CoverSheet!$D$11="EUR"</xm:f>
            <x14:dxf>
              <numFmt numFmtId="184" formatCode="[$€-2]\ #,##0;[Red]\-[$€-2]\ #,##0"/>
            </x14:dxf>
          </x14:cfRule>
          <xm:sqref>D37</xm:sqref>
        </x14:conditionalFormatting>
        <x14:conditionalFormatting xmlns:xm="http://schemas.microsoft.com/office/excel/2006/main">
          <x14:cfRule type="expression" priority="2" id="{B2E3FB0C-4298-496A-B1A3-AED4D6356074}">
            <xm:f>CoverSheet!$D$11="EUR"</xm:f>
            <x14:dxf>
              <numFmt numFmtId="184" formatCode="[$€-2]\ #,##0;[Red]\-[$€-2]\ #,##0"/>
            </x14:dxf>
          </x14:cfRule>
          <xm:sqref>J33:J35</xm:sqref>
        </x14:conditionalFormatting>
      </x14:conditionalFormatting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theme="3" tint="0.79998168889431442"/>
  </sheetPr>
  <dimension ref="B4:L173"/>
  <sheetViews>
    <sheetView workbookViewId="0">
      <selection activeCell="G33" sqref="G33"/>
    </sheetView>
  </sheetViews>
  <sheetFormatPr defaultRowHeight="12.75" x14ac:dyDescent="0.2"/>
  <cols>
    <col min="2" max="2" width="16.85546875" customWidth="1"/>
    <col min="3" max="3" width="11.140625" customWidth="1"/>
    <col min="4" max="4" width="47.42578125" customWidth="1"/>
    <col min="5" max="5" width="27.140625" customWidth="1"/>
    <col min="6" max="10" width="11.140625" customWidth="1"/>
    <col min="11" max="11" width="12" customWidth="1"/>
  </cols>
  <sheetData>
    <row r="4" spans="2:11" x14ac:dyDescent="0.2">
      <c r="B4" s="982" t="s">
        <v>564</v>
      </c>
    </row>
    <row r="5" spans="2:11" x14ac:dyDescent="0.2">
      <c r="B5" s="1327" t="s">
        <v>566</v>
      </c>
      <c r="C5" s="1327"/>
      <c r="D5" s="1327" t="s">
        <v>568</v>
      </c>
    </row>
    <row r="6" spans="2:11" hidden="1" x14ac:dyDescent="0.2">
      <c r="B6" s="1328" t="s">
        <v>565</v>
      </c>
      <c r="C6" s="1327"/>
      <c r="D6" s="1327" t="s">
        <v>567</v>
      </c>
    </row>
    <row r="7" spans="2:11" s="1061" customFormat="1" x14ac:dyDescent="0.2">
      <c r="B7" s="1328" t="s">
        <v>965</v>
      </c>
      <c r="C7" s="1327"/>
      <c r="D7" s="1327" t="s">
        <v>965</v>
      </c>
    </row>
    <row r="10" spans="2:11" x14ac:dyDescent="0.2">
      <c r="B10" s="982" t="s">
        <v>557</v>
      </c>
    </row>
    <row r="11" spans="2:11" x14ac:dyDescent="0.2">
      <c r="B11" s="1329" t="s">
        <v>336</v>
      </c>
      <c r="C11" s="1329" t="s">
        <v>569</v>
      </c>
      <c r="D11" s="1329" t="s">
        <v>560</v>
      </c>
      <c r="E11" s="1329" t="s">
        <v>570</v>
      </c>
      <c r="F11" s="1329" t="s">
        <v>571</v>
      </c>
      <c r="G11" s="1329" t="s">
        <v>572</v>
      </c>
      <c r="H11" s="1329" t="s">
        <v>573</v>
      </c>
      <c r="I11" s="1329" t="s">
        <v>575</v>
      </c>
      <c r="J11" s="1329" t="s">
        <v>576</v>
      </c>
      <c r="K11" s="1329" t="s">
        <v>356</v>
      </c>
    </row>
    <row r="12" spans="2:11" hidden="1" x14ac:dyDescent="0.2">
      <c r="B12" s="1330" t="s">
        <v>273</v>
      </c>
      <c r="C12" s="1329"/>
      <c r="D12" s="1329" t="s">
        <v>559</v>
      </c>
      <c r="E12" s="1329"/>
      <c r="F12" s="1329"/>
      <c r="G12" s="1329"/>
      <c r="H12" s="1329"/>
      <c r="I12" s="1329" t="str">
        <f t="array" ref="I12">IFERROR(INDEX($D$12:$D$25, MATCH(0, COUNTIF($I$11:I11, $D$12:$D$25&amp;"") + IF($D$12:$D$25="",1,0), 0)), "")</f>
        <v>[Module-Coverage-Intervention Reference (Name)]</v>
      </c>
      <c r="J12" s="1329" t="str">
        <f t="array" ref="J12">IFERROR(IF(INDEX($B$12:$B$25,MATCH(LEFT(I12,255),LEFT($D$12:$D$25,255),0))=0,"",INDEX($B$12:$B$25,MATCH(LEFT(I12,255),LEFT($D$12:$D$25,255),0))),"")</f>
        <v>[Name]</v>
      </c>
      <c r="K12" s="1329" t="s">
        <v>355</v>
      </c>
    </row>
    <row r="13" spans="2:11" s="1061" customFormat="1" x14ac:dyDescent="0.2">
      <c r="B13" s="1330" t="s">
        <v>1018</v>
      </c>
      <c r="C13" s="1329"/>
      <c r="D13" s="1329" t="s">
        <v>1194</v>
      </c>
      <c r="E13" s="1329"/>
      <c r="F13" s="1329"/>
      <c r="G13" s="1329"/>
      <c r="H13" s="1329"/>
      <c r="I13" s="1329" t="str">
        <f t="array" ref="I13">IFERROR(INDEX($D$12:$D$25, MATCH(0, COUNTIF($I$11:I12, $D$12:$D$25&amp;"") + IF($D$12:$D$25="",1,0), 0)), "")</f>
        <v>MCI-00008</v>
      </c>
      <c r="J13" s="1329" t="str">
        <f t="array" ref="J13">IFERROR(IF(INDEX($B$12:$B$25,MATCH(LEFT(I13,255),LEFT($D$12:$D$25,255),0))=0,"",INDEX($B$12:$B$25,MATCH(LEFT(I13,255),LEFT($D$12:$D$25,255),0))),"")</f>
        <v>TB care and prevention</v>
      </c>
      <c r="K13" s="1329" t="s">
        <v>1195</v>
      </c>
    </row>
    <row r="14" spans="2:11" s="1061" customFormat="1" x14ac:dyDescent="0.2">
      <c r="B14" s="1330" t="s">
        <v>1021</v>
      </c>
      <c r="C14" s="1329"/>
      <c r="D14" s="1329" t="s">
        <v>1196</v>
      </c>
      <c r="E14" s="1329"/>
      <c r="F14" s="1329"/>
      <c r="G14" s="1329"/>
      <c r="H14" s="1329"/>
      <c r="I14" s="1329" t="str">
        <f t="array" ref="I14">IFERROR(INDEX($D$12:$D$25, MATCH(0, COUNTIF($I$11:I13, $D$12:$D$25&amp;"") + IF($D$12:$D$25="",1,0), 0)), "")</f>
        <v>MCI-00009</v>
      </c>
      <c r="J14" s="1329" t="str">
        <f t="array" ref="J14">IFERROR(IF(INDEX($B$12:$B$25,MATCH(LEFT(I14,255),LEFT($D$12:$D$25,255),0))=0,"",INDEX($B$12:$B$25,MATCH(LEFT(I14,255),LEFT($D$12:$D$25,255),0))),"")</f>
        <v>TB/HIV</v>
      </c>
      <c r="K14" s="1329" t="s">
        <v>1197</v>
      </c>
    </row>
    <row r="15" spans="2:11" s="1061" customFormat="1" x14ac:dyDescent="0.2">
      <c r="B15" s="1330" t="s">
        <v>1012</v>
      </c>
      <c r="C15" s="1329"/>
      <c r="D15" s="1329" t="s">
        <v>1198</v>
      </c>
      <c r="E15" s="1329"/>
      <c r="F15" s="1329"/>
      <c r="G15" s="1329"/>
      <c r="H15" s="1329"/>
      <c r="I15" s="1329" t="str">
        <f t="array" ref="I15">IFERROR(INDEX($D$12:$D$25, MATCH(0, COUNTIF($I$11:I14, $D$12:$D$25&amp;"") + IF($D$12:$D$25="",1,0), 0)), "")</f>
        <v>MCI-00010</v>
      </c>
      <c r="J15" s="1329" t="str">
        <f t="array" ref="J15">IFERROR(IF(INDEX($B$12:$B$25,MATCH(LEFT(I15,255),LEFT($D$12:$D$25,255),0))=0,"",INDEX($B$12:$B$25,MATCH(LEFT(I15,255),LEFT($D$12:$D$25,255),0))),"")</f>
        <v>MDR-TB</v>
      </c>
      <c r="K15" s="1329" t="s">
        <v>1199</v>
      </c>
    </row>
    <row r="16" spans="2:11" s="1061" customFormat="1" x14ac:dyDescent="0.2">
      <c r="B16" s="1330" t="s">
        <v>1200</v>
      </c>
      <c r="C16" s="1329"/>
      <c r="D16" s="1329" t="s">
        <v>1201</v>
      </c>
      <c r="E16" s="1329"/>
      <c r="F16" s="1329"/>
      <c r="G16" s="1329"/>
      <c r="H16" s="1329"/>
      <c r="I16" s="1329" t="str">
        <f t="array" ref="I16">IFERROR(INDEX($D$12:$D$25, MATCH(0, COUNTIF($I$11:I15, $D$12:$D$25&amp;"") + IF($D$12:$D$25="",1,0), 0)), "")</f>
        <v>MCI-00014</v>
      </c>
      <c r="J16" s="1329" t="str">
        <f t="array" ref="J16">IFERROR(IF(INDEX($B$12:$B$25,MATCH(LEFT(I16,255),LEFT($D$12:$D$25,255),0))=0,"",INDEX($B$12:$B$25,MATCH(LEFT(I16,255),LEFT($D$12:$D$25,255),0))),"")</f>
        <v>RSSH: Integrated service delivery and quality improvement</v>
      </c>
      <c r="K16" s="1329" t="s">
        <v>1202</v>
      </c>
    </row>
    <row r="17" spans="2:12" s="1061" customFormat="1" x14ac:dyDescent="0.2">
      <c r="B17" s="1330" t="s">
        <v>1203</v>
      </c>
      <c r="C17" s="1329"/>
      <c r="D17" s="1329" t="s">
        <v>1204</v>
      </c>
      <c r="E17" s="1329"/>
      <c r="F17" s="1329"/>
      <c r="G17" s="1329"/>
      <c r="H17" s="1329"/>
      <c r="I17" s="1329" t="str">
        <f t="array" ref="I17">IFERROR(INDEX($D$12:$D$25, MATCH(0, COUNTIF($I$11:I16, $D$12:$D$25&amp;"") + IF($D$12:$D$25="",1,0), 0)), "")</f>
        <v>MCI-00015</v>
      </c>
      <c r="J17" s="1329" t="str">
        <f t="array" ref="J17">IFERROR(IF(INDEX($B$12:$B$25,MATCH(LEFT(I17,255),LEFT($D$12:$D$25,255),0))=0,"",INDEX($B$12:$B$25,MATCH(LEFT(I17,255),LEFT($D$12:$D$25,255),0))),"")</f>
        <v>RSSH: Human resources for health (HRH), including community health workers</v>
      </c>
      <c r="K17" s="1329" t="s">
        <v>1205</v>
      </c>
    </row>
    <row r="18" spans="2:12" s="1061" customFormat="1" x14ac:dyDescent="0.2">
      <c r="B18" s="1330" t="s">
        <v>1206</v>
      </c>
      <c r="C18" s="1329"/>
      <c r="D18" s="1329" t="s">
        <v>1207</v>
      </c>
      <c r="E18" s="1329"/>
      <c r="F18" s="1329"/>
      <c r="G18" s="1329"/>
      <c r="H18" s="1329"/>
      <c r="I18" s="1329" t="str">
        <f t="array" ref="I18">IFERROR(INDEX($D$12:$D$25, MATCH(0, COUNTIF($I$11:I17, $D$12:$D$25&amp;"") + IF($D$12:$D$25="",1,0), 0)), "")</f>
        <v>MCI-00016</v>
      </c>
      <c r="J18" s="1329" t="str">
        <f t="array" ref="J18">IFERROR(IF(INDEX($B$12:$B$25,MATCH(LEFT(I18,255),LEFT($D$12:$D$25,255),0))=0,"",INDEX($B$12:$B$25,MATCH(LEFT(I18,255),LEFT($D$12:$D$25,255),0))),"")</f>
        <v>RSSH: Procurement and supply chain management systems</v>
      </c>
      <c r="K18" s="1329" t="s">
        <v>1208</v>
      </c>
    </row>
    <row r="19" spans="2:12" s="1061" customFormat="1" x14ac:dyDescent="0.2">
      <c r="B19" s="1330" t="s">
        <v>1209</v>
      </c>
      <c r="C19" s="1329"/>
      <c r="D19" s="1329" t="s">
        <v>1210</v>
      </c>
      <c r="E19" s="1329"/>
      <c r="F19" s="1329"/>
      <c r="G19" s="1329"/>
      <c r="H19" s="1329"/>
      <c r="I19" s="1329" t="str">
        <f t="array" ref="I19">IFERROR(INDEX($D$12:$D$25, MATCH(0, COUNTIF($I$11:I18, $D$12:$D$25&amp;"") + IF($D$12:$D$25="",1,0), 0)), "")</f>
        <v>MCI-00019</v>
      </c>
      <c r="J19" s="1329" t="str">
        <f t="array" ref="J19">IFERROR(IF(INDEX($B$12:$B$25,MATCH(LEFT(I19,255),LEFT($D$12:$D$25,255),0))=0,"",INDEX($B$12:$B$25,MATCH(LEFT(I19,255),LEFT($D$12:$D$25,255),0))),"")</f>
        <v>RSSH: Financial management systems</v>
      </c>
      <c r="K19" s="1329" t="s">
        <v>1211</v>
      </c>
    </row>
    <row r="20" spans="2:12" s="1061" customFormat="1" x14ac:dyDescent="0.2">
      <c r="B20" s="1330" t="s">
        <v>1212</v>
      </c>
      <c r="C20" s="1329"/>
      <c r="D20" s="1329" t="s">
        <v>1213</v>
      </c>
      <c r="E20" s="1329"/>
      <c r="F20" s="1329"/>
      <c r="G20" s="1329"/>
      <c r="H20" s="1329"/>
      <c r="I20" s="1329" t="str">
        <f t="array" ref="I20">IFERROR(INDEX($D$12:$D$25, MATCH(0, COUNTIF($I$11:I19, $D$12:$D$25&amp;"") + IF($D$12:$D$25="",1,0), 0)), "")</f>
        <v>MCI-00021</v>
      </c>
      <c r="J20" s="1329" t="str">
        <f t="array" ref="J20">IFERROR(IF(INDEX($B$12:$B$25,MATCH(LEFT(I20,255),LEFT($D$12:$D$25,255),0))=0,"",INDEX($B$12:$B$25,MATCH(LEFT(I20,255),LEFT($D$12:$D$25,255),0))),"")</f>
        <v>RSSH: Community responses and systems</v>
      </c>
      <c r="K20" s="1329" t="s">
        <v>1214</v>
      </c>
    </row>
    <row r="21" spans="2:12" s="1061" customFormat="1" x14ac:dyDescent="0.2">
      <c r="B21" s="1330" t="s">
        <v>1215</v>
      </c>
      <c r="C21" s="1329"/>
      <c r="D21" s="1329" t="s">
        <v>1216</v>
      </c>
      <c r="E21" s="1329"/>
      <c r="F21" s="1329"/>
      <c r="G21" s="1329"/>
      <c r="H21" s="1329"/>
      <c r="I21" s="1329" t="str">
        <f t="array" ref="I21">IFERROR(INDEX($D$12:$D$25, MATCH(0, COUNTIF($I$11:I20, $D$12:$D$25&amp;"") + IF($D$12:$D$25="",1,0), 0)), "")</f>
        <v>MCI-00022</v>
      </c>
      <c r="J21" s="1329" t="str">
        <f t="array" ref="J21">IFERROR(IF(INDEX($B$12:$B$25,MATCH(LEFT(I21,255),LEFT($D$12:$D$25,255),0))=0,"",INDEX($B$12:$B$25,MATCH(LEFT(I21,255),LEFT($D$12:$D$25,255),0))),"")</f>
        <v>RSSH: Health management information systems and M&amp;E</v>
      </c>
      <c r="K21" s="1329" t="s">
        <v>1217</v>
      </c>
    </row>
    <row r="22" spans="2:12" s="1061" customFormat="1" x14ac:dyDescent="0.2">
      <c r="B22" s="1330" t="s">
        <v>1098</v>
      </c>
      <c r="C22" s="1329"/>
      <c r="D22" s="1329" t="s">
        <v>1218</v>
      </c>
      <c r="E22" s="1329"/>
      <c r="F22" s="1329"/>
      <c r="G22" s="1329"/>
      <c r="H22" s="1329"/>
      <c r="I22" s="1329" t="str">
        <f t="array" ref="I22">IFERROR(INDEX($D$12:$D$25, MATCH(0, COUNTIF($I$11:I21, $D$12:$D$25&amp;"") + IF($D$12:$D$25="",1,0), 0)), "")</f>
        <v>MCI-00023</v>
      </c>
      <c r="J22" s="1329" t="str">
        <f t="array" ref="J22">IFERROR(IF(INDEX($B$12:$B$25,MATCH(LEFT(I22,255),LEFT($D$12:$D$25,255),0))=0,"",INDEX($B$12:$B$25,MATCH(LEFT(I22,255),LEFT($D$12:$D$25,255),0))),"")</f>
        <v>Program management</v>
      </c>
      <c r="K22" s="1329" t="s">
        <v>1219</v>
      </c>
    </row>
    <row r="23" spans="2:12" s="1061" customFormat="1" x14ac:dyDescent="0.2">
      <c r="B23" s="1330" t="s">
        <v>1220</v>
      </c>
      <c r="C23" s="1329"/>
      <c r="D23" s="1329" t="s">
        <v>1221</v>
      </c>
      <c r="E23" s="1329"/>
      <c r="F23" s="1329"/>
      <c r="G23" s="1329"/>
      <c r="H23" s="1329"/>
      <c r="I23" s="1329" t="str">
        <f t="array" ref="I23">IFERROR(INDEX($D$12:$D$25, MATCH(0, COUNTIF($I$11:I22, $D$12:$D$25&amp;"") + IF($D$12:$D$25="",1,0), 0)), "")</f>
        <v>MCI-00024</v>
      </c>
      <c r="J23" s="1329" t="str">
        <f t="array" ref="J23">IFERROR(IF(INDEX($B$12:$B$25,MATCH(LEFT(I23,255),LEFT($D$12:$D$25,255),0))=0,"",INDEX($B$12:$B$25,MATCH(LEFT(I23,255),LEFT($D$12:$D$25,255),0))),"")</f>
        <v>Payment for results</v>
      </c>
      <c r="K23" s="1329" t="s">
        <v>1222</v>
      </c>
    </row>
    <row r="24" spans="2:12" s="1061" customFormat="1" x14ac:dyDescent="0.2">
      <c r="B24" s="1330" t="s">
        <v>1223</v>
      </c>
      <c r="C24" s="1329"/>
      <c r="D24" s="1329" t="s">
        <v>1224</v>
      </c>
      <c r="E24" s="1329"/>
      <c r="F24" s="1329"/>
      <c r="G24" s="1329"/>
      <c r="H24" s="1329"/>
      <c r="I24" s="1329" t="str">
        <f t="array" ref="I24">IFERROR(INDEX($D$12:$D$25, MATCH(0, COUNTIF($I$11:I23, $D$12:$D$25&amp;"") + IF($D$12:$D$25="",1,0), 0)), "")</f>
        <v>MCI-00536</v>
      </c>
      <c r="J24" s="1329" t="str">
        <f t="array" ref="J24">IFERROR(IF(INDEX($B$12:$B$25,MATCH(LEFT(I24,255),LEFT($D$12:$D$25,255),0))=0,"",INDEX($B$12:$B$25,MATCH(LEFT(I24,255),LEFT($D$12:$D$25,255),0))),"")</f>
        <v>RSSH: National health strategies</v>
      </c>
      <c r="K24" s="1329" t="s">
        <v>1225</v>
      </c>
    </row>
    <row r="28" spans="2:12" x14ac:dyDescent="0.2">
      <c r="B28" s="982" t="s">
        <v>558</v>
      </c>
    </row>
    <row r="29" spans="2:12" x14ac:dyDescent="0.2">
      <c r="B29" s="1327" t="s">
        <v>69</v>
      </c>
      <c r="C29" s="1327" t="s">
        <v>569</v>
      </c>
      <c r="D29" s="1327" t="s">
        <v>563</v>
      </c>
      <c r="E29" s="1331" t="s">
        <v>519</v>
      </c>
      <c r="F29" s="1327" t="s">
        <v>570</v>
      </c>
      <c r="G29" s="1327" t="s">
        <v>573</v>
      </c>
      <c r="H29" s="1327" t="s">
        <v>574</v>
      </c>
      <c r="I29" s="1327" t="s">
        <v>572</v>
      </c>
      <c r="J29" s="1327" t="s">
        <v>571</v>
      </c>
      <c r="K29" s="1327" t="s">
        <v>356</v>
      </c>
      <c r="L29" t="s">
        <v>578</v>
      </c>
    </row>
    <row r="30" spans="2:12" hidden="1" x14ac:dyDescent="0.2">
      <c r="B30" s="1327" t="s">
        <v>561</v>
      </c>
      <c r="C30" s="1327"/>
      <c r="D30" s="1328" t="s">
        <v>562</v>
      </c>
      <c r="E30" s="1328" t="s">
        <v>273</v>
      </c>
      <c r="F30" s="1327"/>
      <c r="G30" s="1327"/>
      <c r="H30" s="1327"/>
      <c r="I30" s="1327"/>
      <c r="J30" s="1327"/>
      <c r="K30" s="1327" t="s">
        <v>355</v>
      </c>
    </row>
    <row r="31" spans="2:12" s="1061" customFormat="1" x14ac:dyDescent="0.2">
      <c r="B31" s="1327" t="s">
        <v>1194</v>
      </c>
      <c r="C31" s="1327"/>
      <c r="D31" s="1328" t="s">
        <v>1226</v>
      </c>
      <c r="E31" s="1328" t="s">
        <v>1092</v>
      </c>
      <c r="F31" s="1327"/>
      <c r="G31" s="1327"/>
      <c r="H31" s="1327"/>
      <c r="I31" s="1327"/>
      <c r="J31" s="1327"/>
      <c r="K31" s="1327" t="s">
        <v>1227</v>
      </c>
    </row>
    <row r="32" spans="2:12" s="1061" customFormat="1" x14ac:dyDescent="0.2">
      <c r="B32" s="1327" t="s">
        <v>1194</v>
      </c>
      <c r="C32" s="1327"/>
      <c r="D32" s="1328" t="s">
        <v>1228</v>
      </c>
      <c r="E32" s="1328" t="s">
        <v>1229</v>
      </c>
      <c r="F32" s="1327"/>
      <c r="G32" s="1327"/>
      <c r="H32" s="1327"/>
      <c r="I32" s="1327"/>
      <c r="J32" s="1327"/>
      <c r="K32" s="1327" t="s">
        <v>1230</v>
      </c>
    </row>
    <row r="33" spans="2:11" s="1061" customFormat="1" x14ac:dyDescent="0.2">
      <c r="B33" s="1327" t="s">
        <v>1194</v>
      </c>
      <c r="C33" s="1327"/>
      <c r="D33" s="1328" t="s">
        <v>1231</v>
      </c>
      <c r="E33" s="1328" t="s">
        <v>1232</v>
      </c>
      <c r="F33" s="1327"/>
      <c r="G33" s="1327"/>
      <c r="H33" s="1327"/>
      <c r="I33" s="1327"/>
      <c r="J33" s="1327"/>
      <c r="K33" s="1327" t="s">
        <v>1233</v>
      </c>
    </row>
    <row r="34" spans="2:11" s="1061" customFormat="1" x14ac:dyDescent="0.2">
      <c r="B34" s="1327" t="s">
        <v>1194</v>
      </c>
      <c r="C34" s="1327"/>
      <c r="D34" s="1328" t="s">
        <v>1234</v>
      </c>
      <c r="E34" s="1328" t="s">
        <v>1235</v>
      </c>
      <c r="F34" s="1327"/>
      <c r="G34" s="1327"/>
      <c r="H34" s="1327"/>
      <c r="I34" s="1327"/>
      <c r="J34" s="1327"/>
      <c r="K34" s="1327" t="s">
        <v>1236</v>
      </c>
    </row>
    <row r="35" spans="2:11" s="1061" customFormat="1" x14ac:dyDescent="0.2">
      <c r="B35" s="1327" t="s">
        <v>1194</v>
      </c>
      <c r="C35" s="1327"/>
      <c r="D35" s="1328" t="s">
        <v>1237</v>
      </c>
      <c r="E35" s="1328" t="s">
        <v>1238</v>
      </c>
      <c r="F35" s="1327"/>
      <c r="G35" s="1327"/>
      <c r="H35" s="1327"/>
      <c r="I35" s="1327"/>
      <c r="J35" s="1327"/>
      <c r="K35" s="1327" t="s">
        <v>1239</v>
      </c>
    </row>
    <row r="36" spans="2:11" s="1061" customFormat="1" x14ac:dyDescent="0.2">
      <c r="B36" s="1327" t="s">
        <v>1194</v>
      </c>
      <c r="C36" s="1327"/>
      <c r="D36" s="1328" t="s">
        <v>1240</v>
      </c>
      <c r="E36" s="1328" t="s">
        <v>1090</v>
      </c>
      <c r="F36" s="1327"/>
      <c r="G36" s="1327"/>
      <c r="H36" s="1327"/>
      <c r="I36" s="1327"/>
      <c r="J36" s="1327"/>
      <c r="K36" s="1327" t="s">
        <v>1241</v>
      </c>
    </row>
    <row r="37" spans="2:11" s="1061" customFormat="1" x14ac:dyDescent="0.2">
      <c r="B37" s="1327" t="s">
        <v>1194</v>
      </c>
      <c r="C37" s="1327"/>
      <c r="D37" s="1328" t="s">
        <v>1242</v>
      </c>
      <c r="E37" s="1328" t="s">
        <v>1243</v>
      </c>
      <c r="F37" s="1327"/>
      <c r="G37" s="1327"/>
      <c r="H37" s="1327"/>
      <c r="I37" s="1327"/>
      <c r="J37" s="1327"/>
      <c r="K37" s="1327" t="s">
        <v>1244</v>
      </c>
    </row>
    <row r="38" spans="2:11" s="1061" customFormat="1" x14ac:dyDescent="0.2">
      <c r="B38" s="1327" t="s">
        <v>1194</v>
      </c>
      <c r="C38" s="1327"/>
      <c r="D38" s="1328" t="s">
        <v>1245</v>
      </c>
      <c r="E38" s="1328" t="s">
        <v>1246</v>
      </c>
      <c r="F38" s="1327"/>
      <c r="G38" s="1327"/>
      <c r="H38" s="1327"/>
      <c r="I38" s="1327"/>
      <c r="J38" s="1327"/>
      <c r="K38" s="1327" t="s">
        <v>1247</v>
      </c>
    </row>
    <row r="39" spans="2:11" s="1061" customFormat="1" x14ac:dyDescent="0.2">
      <c r="B39" s="1327" t="s">
        <v>1194</v>
      </c>
      <c r="C39" s="1327"/>
      <c r="D39" s="1328" t="s">
        <v>1248</v>
      </c>
      <c r="E39" s="1328" t="s">
        <v>1249</v>
      </c>
      <c r="F39" s="1327"/>
      <c r="G39" s="1327"/>
      <c r="H39" s="1327"/>
      <c r="I39" s="1327"/>
      <c r="J39" s="1327"/>
      <c r="K39" s="1327" t="s">
        <v>1250</v>
      </c>
    </row>
    <row r="40" spans="2:11" s="1061" customFormat="1" x14ac:dyDescent="0.2">
      <c r="B40" s="1327" t="s">
        <v>1194</v>
      </c>
      <c r="C40" s="1327"/>
      <c r="D40" s="1328" t="s">
        <v>1251</v>
      </c>
      <c r="E40" s="1328" t="s">
        <v>1252</v>
      </c>
      <c r="F40" s="1327"/>
      <c r="G40" s="1327"/>
      <c r="H40" s="1327"/>
      <c r="I40" s="1327"/>
      <c r="J40" s="1327"/>
      <c r="K40" s="1327" t="s">
        <v>1253</v>
      </c>
    </row>
    <row r="41" spans="2:11" s="1061" customFormat="1" x14ac:dyDescent="0.2">
      <c r="B41" s="1327" t="s">
        <v>1196</v>
      </c>
      <c r="C41" s="1327"/>
      <c r="D41" s="1328" t="s">
        <v>1254</v>
      </c>
      <c r="E41" s="1328" t="s">
        <v>1255</v>
      </c>
      <c r="F41" s="1327"/>
      <c r="G41" s="1327"/>
      <c r="H41" s="1327"/>
      <c r="I41" s="1327"/>
      <c r="J41" s="1327"/>
      <c r="K41" s="1327" t="s">
        <v>1256</v>
      </c>
    </row>
    <row r="42" spans="2:11" s="1061" customFormat="1" x14ac:dyDescent="0.2">
      <c r="B42" s="1327" t="s">
        <v>1196</v>
      </c>
      <c r="C42" s="1327"/>
      <c r="D42" s="1328" t="s">
        <v>1257</v>
      </c>
      <c r="E42" s="1328" t="s">
        <v>1258</v>
      </c>
      <c r="F42" s="1327"/>
      <c r="G42" s="1327"/>
      <c r="H42" s="1327"/>
      <c r="I42" s="1327"/>
      <c r="J42" s="1327"/>
      <c r="K42" s="1327" t="s">
        <v>1259</v>
      </c>
    </row>
    <row r="43" spans="2:11" s="1061" customFormat="1" x14ac:dyDescent="0.2">
      <c r="B43" s="1327" t="s">
        <v>1196</v>
      </c>
      <c r="C43" s="1327"/>
      <c r="D43" s="1328" t="s">
        <v>1260</v>
      </c>
      <c r="E43" s="1328" t="s">
        <v>1261</v>
      </c>
      <c r="F43" s="1327"/>
      <c r="G43" s="1327"/>
      <c r="H43" s="1327"/>
      <c r="I43" s="1327"/>
      <c r="J43" s="1327"/>
      <c r="K43" s="1327" t="s">
        <v>1262</v>
      </c>
    </row>
    <row r="44" spans="2:11" s="1061" customFormat="1" x14ac:dyDescent="0.2">
      <c r="B44" s="1327" t="s">
        <v>1196</v>
      </c>
      <c r="C44" s="1327"/>
      <c r="D44" s="1328" t="s">
        <v>1263</v>
      </c>
      <c r="E44" s="1328" t="s">
        <v>1264</v>
      </c>
      <c r="F44" s="1327"/>
      <c r="G44" s="1327"/>
      <c r="H44" s="1327"/>
      <c r="I44" s="1327"/>
      <c r="J44" s="1327"/>
      <c r="K44" s="1327" t="s">
        <v>1265</v>
      </c>
    </row>
    <row r="45" spans="2:11" s="1061" customFormat="1" x14ac:dyDescent="0.2">
      <c r="B45" s="1327" t="s">
        <v>1196</v>
      </c>
      <c r="C45" s="1327"/>
      <c r="D45" s="1328" t="s">
        <v>1266</v>
      </c>
      <c r="E45" s="1328" t="s">
        <v>1267</v>
      </c>
      <c r="F45" s="1327"/>
      <c r="G45" s="1327"/>
      <c r="H45" s="1327"/>
      <c r="I45" s="1327"/>
      <c r="J45" s="1327"/>
      <c r="K45" s="1327" t="s">
        <v>1268</v>
      </c>
    </row>
    <row r="46" spans="2:11" s="1061" customFormat="1" x14ac:dyDescent="0.2">
      <c r="B46" s="1327" t="s">
        <v>1196</v>
      </c>
      <c r="C46" s="1327"/>
      <c r="D46" s="1328" t="s">
        <v>1269</v>
      </c>
      <c r="E46" s="1328" t="s">
        <v>1270</v>
      </c>
      <c r="F46" s="1327"/>
      <c r="G46" s="1327"/>
      <c r="H46" s="1327"/>
      <c r="I46" s="1327"/>
      <c r="J46" s="1327"/>
      <c r="K46" s="1327" t="s">
        <v>1271</v>
      </c>
    </row>
    <row r="47" spans="2:11" s="1061" customFormat="1" x14ac:dyDescent="0.2">
      <c r="B47" s="1327" t="s">
        <v>1196</v>
      </c>
      <c r="C47" s="1327"/>
      <c r="D47" s="1328" t="s">
        <v>1272</v>
      </c>
      <c r="E47" s="1328" t="s">
        <v>1273</v>
      </c>
      <c r="F47" s="1327"/>
      <c r="G47" s="1327"/>
      <c r="H47" s="1327"/>
      <c r="I47" s="1327"/>
      <c r="J47" s="1327"/>
      <c r="K47" s="1327" t="s">
        <v>1274</v>
      </c>
    </row>
    <row r="48" spans="2:11" s="1061" customFormat="1" x14ac:dyDescent="0.2">
      <c r="B48" s="1327" t="s">
        <v>1196</v>
      </c>
      <c r="C48" s="1327"/>
      <c r="D48" s="1328" t="s">
        <v>1275</v>
      </c>
      <c r="E48" s="1328" t="s">
        <v>1276</v>
      </c>
      <c r="F48" s="1327"/>
      <c r="G48" s="1327"/>
      <c r="H48" s="1327"/>
      <c r="I48" s="1327"/>
      <c r="J48" s="1327"/>
      <c r="K48" s="1327" t="s">
        <v>1277</v>
      </c>
    </row>
    <row r="49" spans="2:11" s="1061" customFormat="1" x14ac:dyDescent="0.2">
      <c r="B49" s="1327" t="s">
        <v>1198</v>
      </c>
      <c r="C49" s="1327"/>
      <c r="D49" s="1328" t="s">
        <v>1278</v>
      </c>
      <c r="E49" s="1328" t="s">
        <v>1279</v>
      </c>
      <c r="F49" s="1327"/>
      <c r="G49" s="1327"/>
      <c r="H49" s="1327"/>
      <c r="I49" s="1327"/>
      <c r="J49" s="1327"/>
      <c r="K49" s="1327" t="s">
        <v>1280</v>
      </c>
    </row>
    <row r="50" spans="2:11" s="1061" customFormat="1" x14ac:dyDescent="0.2">
      <c r="B50" s="1327" t="s">
        <v>1198</v>
      </c>
      <c r="C50" s="1327"/>
      <c r="D50" s="1328" t="s">
        <v>1281</v>
      </c>
      <c r="E50" s="1328" t="s">
        <v>1282</v>
      </c>
      <c r="F50" s="1327"/>
      <c r="G50" s="1327"/>
      <c r="H50" s="1327"/>
      <c r="I50" s="1327"/>
      <c r="J50" s="1327"/>
      <c r="K50" s="1327" t="s">
        <v>1283</v>
      </c>
    </row>
    <row r="51" spans="2:11" s="1061" customFormat="1" x14ac:dyDescent="0.2">
      <c r="B51" s="1327" t="s">
        <v>1198</v>
      </c>
      <c r="C51" s="1327"/>
      <c r="D51" s="1328" t="s">
        <v>1284</v>
      </c>
      <c r="E51" s="1328" t="s">
        <v>1285</v>
      </c>
      <c r="F51" s="1327"/>
      <c r="G51" s="1327"/>
      <c r="H51" s="1327"/>
      <c r="I51" s="1327"/>
      <c r="J51" s="1327"/>
      <c r="K51" s="1327" t="s">
        <v>1286</v>
      </c>
    </row>
    <row r="52" spans="2:11" s="1061" customFormat="1" x14ac:dyDescent="0.2">
      <c r="B52" s="1327" t="s">
        <v>1198</v>
      </c>
      <c r="C52" s="1327"/>
      <c r="D52" s="1328" t="s">
        <v>1287</v>
      </c>
      <c r="E52" s="1328" t="s">
        <v>1288</v>
      </c>
      <c r="F52" s="1327"/>
      <c r="G52" s="1327"/>
      <c r="H52" s="1327"/>
      <c r="I52" s="1327"/>
      <c r="J52" s="1327"/>
      <c r="K52" s="1327" t="s">
        <v>1289</v>
      </c>
    </row>
    <row r="53" spans="2:11" s="1061" customFormat="1" x14ac:dyDescent="0.2">
      <c r="B53" s="1327" t="s">
        <v>1198</v>
      </c>
      <c r="C53" s="1327"/>
      <c r="D53" s="1328" t="s">
        <v>1290</v>
      </c>
      <c r="E53" s="1328" t="s">
        <v>1291</v>
      </c>
      <c r="F53" s="1327"/>
      <c r="G53" s="1327"/>
      <c r="H53" s="1327"/>
      <c r="I53" s="1327"/>
      <c r="J53" s="1327"/>
      <c r="K53" s="1327" t="s">
        <v>1292</v>
      </c>
    </row>
    <row r="54" spans="2:11" s="1061" customFormat="1" x14ac:dyDescent="0.2">
      <c r="B54" s="1327" t="s">
        <v>1198</v>
      </c>
      <c r="C54" s="1327"/>
      <c r="D54" s="1328" t="s">
        <v>1293</v>
      </c>
      <c r="E54" s="1328" t="s">
        <v>1294</v>
      </c>
      <c r="F54" s="1327"/>
      <c r="G54" s="1327"/>
      <c r="H54" s="1327"/>
      <c r="I54" s="1327"/>
      <c r="J54" s="1327"/>
      <c r="K54" s="1327" t="s">
        <v>1295</v>
      </c>
    </row>
    <row r="55" spans="2:11" s="1061" customFormat="1" x14ac:dyDescent="0.2">
      <c r="B55" s="1327" t="s">
        <v>1198</v>
      </c>
      <c r="C55" s="1327"/>
      <c r="D55" s="1328" t="s">
        <v>1296</v>
      </c>
      <c r="E55" s="1328" t="s">
        <v>1297</v>
      </c>
      <c r="F55" s="1327"/>
      <c r="G55" s="1327"/>
      <c r="H55" s="1327"/>
      <c r="I55" s="1327"/>
      <c r="J55" s="1327"/>
      <c r="K55" s="1327" t="s">
        <v>1298</v>
      </c>
    </row>
    <row r="56" spans="2:11" s="1061" customFormat="1" x14ac:dyDescent="0.2">
      <c r="B56" s="1327" t="s">
        <v>1198</v>
      </c>
      <c r="C56" s="1327"/>
      <c r="D56" s="1328" t="s">
        <v>1299</v>
      </c>
      <c r="E56" s="1328" t="s">
        <v>1094</v>
      </c>
      <c r="F56" s="1327"/>
      <c r="G56" s="1327"/>
      <c r="H56" s="1327"/>
      <c r="I56" s="1327"/>
      <c r="J56" s="1327"/>
      <c r="K56" s="1327" t="s">
        <v>1300</v>
      </c>
    </row>
    <row r="57" spans="2:11" s="1061" customFormat="1" x14ac:dyDescent="0.2">
      <c r="B57" s="1327" t="s">
        <v>1198</v>
      </c>
      <c r="C57" s="1327"/>
      <c r="D57" s="1328" t="s">
        <v>1301</v>
      </c>
      <c r="E57" s="1328" t="s">
        <v>1302</v>
      </c>
      <c r="F57" s="1327"/>
      <c r="G57" s="1327"/>
      <c r="H57" s="1327"/>
      <c r="I57" s="1327"/>
      <c r="J57" s="1327"/>
      <c r="K57" s="1327" t="s">
        <v>1303</v>
      </c>
    </row>
    <row r="58" spans="2:11" s="1061" customFormat="1" x14ac:dyDescent="0.2">
      <c r="B58" s="1327" t="s">
        <v>1198</v>
      </c>
      <c r="C58" s="1327"/>
      <c r="D58" s="1328" t="s">
        <v>1304</v>
      </c>
      <c r="E58" s="1328" t="s">
        <v>1305</v>
      </c>
      <c r="F58" s="1327"/>
      <c r="G58" s="1327"/>
      <c r="H58" s="1327"/>
      <c r="I58" s="1327"/>
      <c r="J58" s="1327"/>
      <c r="K58" s="1327" t="s">
        <v>1306</v>
      </c>
    </row>
    <row r="59" spans="2:11" s="1061" customFormat="1" x14ac:dyDescent="0.2">
      <c r="B59" s="1327" t="s">
        <v>1201</v>
      </c>
      <c r="C59" s="1327"/>
      <c r="D59" s="1328" t="s">
        <v>1307</v>
      </c>
      <c r="E59" s="1328" t="s">
        <v>1308</v>
      </c>
      <c r="F59" s="1327"/>
      <c r="G59" s="1327"/>
      <c r="H59" s="1327"/>
      <c r="I59" s="1327"/>
      <c r="J59" s="1327"/>
      <c r="K59" s="1327" t="s">
        <v>1309</v>
      </c>
    </row>
    <row r="60" spans="2:11" s="1061" customFormat="1" x14ac:dyDescent="0.2">
      <c r="B60" s="1327" t="s">
        <v>1201</v>
      </c>
      <c r="C60" s="1327"/>
      <c r="D60" s="1328" t="s">
        <v>1310</v>
      </c>
      <c r="E60" s="1328" t="s">
        <v>1311</v>
      </c>
      <c r="F60" s="1327"/>
      <c r="G60" s="1327"/>
      <c r="H60" s="1327"/>
      <c r="I60" s="1327"/>
      <c r="J60" s="1327"/>
      <c r="K60" s="1327" t="s">
        <v>1312</v>
      </c>
    </row>
    <row r="61" spans="2:11" s="1061" customFormat="1" x14ac:dyDescent="0.2">
      <c r="B61" s="1327" t="s">
        <v>1201</v>
      </c>
      <c r="C61" s="1327"/>
      <c r="D61" s="1328" t="s">
        <v>1313</v>
      </c>
      <c r="E61" s="1328" t="s">
        <v>1314</v>
      </c>
      <c r="F61" s="1327"/>
      <c r="G61" s="1327"/>
      <c r="H61" s="1327"/>
      <c r="I61" s="1327"/>
      <c r="J61" s="1327"/>
      <c r="K61" s="1327" t="s">
        <v>1315</v>
      </c>
    </row>
    <row r="62" spans="2:11" s="1061" customFormat="1" x14ac:dyDescent="0.2">
      <c r="B62" s="1327" t="s">
        <v>1201</v>
      </c>
      <c r="C62" s="1327"/>
      <c r="D62" s="1328" t="s">
        <v>1316</v>
      </c>
      <c r="E62" s="1328" t="s">
        <v>1317</v>
      </c>
      <c r="F62" s="1327"/>
      <c r="G62" s="1327"/>
      <c r="H62" s="1327"/>
      <c r="I62" s="1327"/>
      <c r="J62" s="1327"/>
      <c r="K62" s="1327" t="s">
        <v>1318</v>
      </c>
    </row>
    <row r="63" spans="2:11" s="1061" customFormat="1" x14ac:dyDescent="0.2">
      <c r="B63" s="1327" t="s">
        <v>1201</v>
      </c>
      <c r="C63" s="1327"/>
      <c r="D63" s="1328" t="s">
        <v>1319</v>
      </c>
      <c r="E63" s="1328" t="s">
        <v>1320</v>
      </c>
      <c r="F63" s="1327"/>
      <c r="G63" s="1327"/>
      <c r="H63" s="1327"/>
      <c r="I63" s="1327"/>
      <c r="J63" s="1327"/>
      <c r="K63" s="1327" t="s">
        <v>1321</v>
      </c>
    </row>
    <row r="64" spans="2:11" s="1061" customFormat="1" x14ac:dyDescent="0.2">
      <c r="B64" s="1327" t="s">
        <v>1201</v>
      </c>
      <c r="C64" s="1327"/>
      <c r="D64" s="1328" t="s">
        <v>1322</v>
      </c>
      <c r="E64" s="1328" t="s">
        <v>1323</v>
      </c>
      <c r="F64" s="1327"/>
      <c r="G64" s="1327"/>
      <c r="H64" s="1327"/>
      <c r="I64" s="1327"/>
      <c r="J64" s="1327"/>
      <c r="K64" s="1327" t="s">
        <v>1324</v>
      </c>
    </row>
    <row r="65" spans="2:11" s="1061" customFormat="1" x14ac:dyDescent="0.2">
      <c r="B65" s="1327" t="s">
        <v>1204</v>
      </c>
      <c r="C65" s="1327"/>
      <c r="D65" s="1328" t="s">
        <v>1325</v>
      </c>
      <c r="E65" s="1328" t="s">
        <v>1326</v>
      </c>
      <c r="F65" s="1327"/>
      <c r="G65" s="1327"/>
      <c r="H65" s="1327"/>
      <c r="I65" s="1327"/>
      <c r="J65" s="1327"/>
      <c r="K65" s="1327" t="s">
        <v>1327</v>
      </c>
    </row>
    <row r="66" spans="2:11" s="1061" customFormat="1" x14ac:dyDescent="0.2">
      <c r="B66" s="1327" t="s">
        <v>1204</v>
      </c>
      <c r="C66" s="1327"/>
      <c r="D66" s="1328" t="s">
        <v>1328</v>
      </c>
      <c r="E66" s="1328" t="s">
        <v>1329</v>
      </c>
      <c r="F66" s="1327"/>
      <c r="G66" s="1327"/>
      <c r="H66" s="1327"/>
      <c r="I66" s="1327"/>
      <c r="J66" s="1327"/>
      <c r="K66" s="1327" t="s">
        <v>1330</v>
      </c>
    </row>
    <row r="67" spans="2:11" s="1061" customFormat="1" x14ac:dyDescent="0.2">
      <c r="B67" s="1327" t="s">
        <v>1204</v>
      </c>
      <c r="C67" s="1327"/>
      <c r="D67" s="1328" t="s">
        <v>1331</v>
      </c>
      <c r="E67" s="1328" t="s">
        <v>1332</v>
      </c>
      <c r="F67" s="1327"/>
      <c r="G67" s="1327"/>
      <c r="H67" s="1327"/>
      <c r="I67" s="1327"/>
      <c r="J67" s="1327"/>
      <c r="K67" s="1327" t="s">
        <v>1333</v>
      </c>
    </row>
    <row r="68" spans="2:11" s="1061" customFormat="1" x14ac:dyDescent="0.2">
      <c r="B68" s="1327" t="s">
        <v>1207</v>
      </c>
      <c r="C68" s="1327"/>
      <c r="D68" s="1328" t="s">
        <v>1334</v>
      </c>
      <c r="E68" s="1328" t="s">
        <v>1335</v>
      </c>
      <c r="F68" s="1327"/>
      <c r="G68" s="1327"/>
      <c r="H68" s="1327"/>
      <c r="I68" s="1327"/>
      <c r="J68" s="1327"/>
      <c r="K68" s="1327" t="s">
        <v>1336</v>
      </c>
    </row>
    <row r="69" spans="2:11" s="1061" customFormat="1" x14ac:dyDescent="0.2">
      <c r="B69" s="1327" t="s">
        <v>1207</v>
      </c>
      <c r="C69" s="1327"/>
      <c r="D69" s="1328" t="s">
        <v>1337</v>
      </c>
      <c r="E69" s="1328" t="s">
        <v>1338</v>
      </c>
      <c r="F69" s="1327"/>
      <c r="G69" s="1327"/>
      <c r="H69" s="1327"/>
      <c r="I69" s="1327"/>
      <c r="J69" s="1327"/>
      <c r="K69" s="1327" t="s">
        <v>1339</v>
      </c>
    </row>
    <row r="70" spans="2:11" s="1061" customFormat="1" x14ac:dyDescent="0.2">
      <c r="B70" s="1327" t="s">
        <v>1207</v>
      </c>
      <c r="C70" s="1327"/>
      <c r="D70" s="1328" t="s">
        <v>1340</v>
      </c>
      <c r="E70" s="1328" t="s">
        <v>1341</v>
      </c>
      <c r="F70" s="1327"/>
      <c r="G70" s="1327"/>
      <c r="H70" s="1327"/>
      <c r="I70" s="1327"/>
      <c r="J70" s="1327"/>
      <c r="K70" s="1327" t="s">
        <v>1342</v>
      </c>
    </row>
    <row r="71" spans="2:11" s="1061" customFormat="1" x14ac:dyDescent="0.2">
      <c r="B71" s="1327" t="s">
        <v>1207</v>
      </c>
      <c r="C71" s="1327"/>
      <c r="D71" s="1328" t="s">
        <v>1343</v>
      </c>
      <c r="E71" s="1328" t="s">
        <v>1344</v>
      </c>
      <c r="F71" s="1327"/>
      <c r="G71" s="1327"/>
      <c r="H71" s="1327"/>
      <c r="I71" s="1327"/>
      <c r="J71" s="1327"/>
      <c r="K71" s="1327" t="s">
        <v>1345</v>
      </c>
    </row>
    <row r="72" spans="2:11" s="1061" customFormat="1" x14ac:dyDescent="0.2">
      <c r="B72" s="1327" t="s">
        <v>1207</v>
      </c>
      <c r="C72" s="1327"/>
      <c r="D72" s="1328" t="s">
        <v>1346</v>
      </c>
      <c r="E72" s="1328" t="s">
        <v>1347</v>
      </c>
      <c r="F72" s="1327"/>
      <c r="G72" s="1327"/>
      <c r="H72" s="1327"/>
      <c r="I72" s="1327"/>
      <c r="J72" s="1327"/>
      <c r="K72" s="1327" t="s">
        <v>1348</v>
      </c>
    </row>
    <row r="73" spans="2:11" s="1061" customFormat="1" x14ac:dyDescent="0.2">
      <c r="B73" s="1327" t="s">
        <v>1210</v>
      </c>
      <c r="C73" s="1327"/>
      <c r="D73" s="1328" t="s">
        <v>1349</v>
      </c>
      <c r="E73" s="1328" t="s">
        <v>1350</v>
      </c>
      <c r="F73" s="1327"/>
      <c r="G73" s="1327"/>
      <c r="H73" s="1327"/>
      <c r="I73" s="1327"/>
      <c r="J73" s="1327"/>
      <c r="K73" s="1327" t="s">
        <v>1351</v>
      </c>
    </row>
    <row r="74" spans="2:11" s="1061" customFormat="1" x14ac:dyDescent="0.2">
      <c r="B74" s="1327" t="s">
        <v>1210</v>
      </c>
      <c r="C74" s="1327"/>
      <c r="D74" s="1328" t="s">
        <v>1352</v>
      </c>
      <c r="E74" s="1328" t="s">
        <v>1353</v>
      </c>
      <c r="F74" s="1327"/>
      <c r="G74" s="1327"/>
      <c r="H74" s="1327"/>
      <c r="I74" s="1327"/>
      <c r="J74" s="1327"/>
      <c r="K74" s="1327" t="s">
        <v>1354</v>
      </c>
    </row>
    <row r="75" spans="2:11" s="1061" customFormat="1" x14ac:dyDescent="0.2">
      <c r="B75" s="1327" t="s">
        <v>1210</v>
      </c>
      <c r="C75" s="1327"/>
      <c r="D75" s="1328" t="s">
        <v>1355</v>
      </c>
      <c r="E75" s="1328" t="s">
        <v>1356</v>
      </c>
      <c r="F75" s="1327"/>
      <c r="G75" s="1327"/>
      <c r="H75" s="1327"/>
      <c r="I75" s="1327"/>
      <c r="J75" s="1327"/>
      <c r="K75" s="1327" t="s">
        <v>1357</v>
      </c>
    </row>
    <row r="76" spans="2:11" s="1061" customFormat="1" x14ac:dyDescent="0.2">
      <c r="B76" s="1327" t="s">
        <v>1213</v>
      </c>
      <c r="C76" s="1327"/>
      <c r="D76" s="1328" t="s">
        <v>1358</v>
      </c>
      <c r="E76" s="1328" t="s">
        <v>1359</v>
      </c>
      <c r="F76" s="1327"/>
      <c r="G76" s="1327"/>
      <c r="H76" s="1327"/>
      <c r="I76" s="1327"/>
      <c r="J76" s="1327"/>
      <c r="K76" s="1327" t="s">
        <v>1360</v>
      </c>
    </row>
    <row r="77" spans="2:11" s="1061" customFormat="1" x14ac:dyDescent="0.2">
      <c r="B77" s="1327" t="s">
        <v>1213</v>
      </c>
      <c r="C77" s="1327"/>
      <c r="D77" s="1328" t="s">
        <v>1361</v>
      </c>
      <c r="E77" s="1328" t="s">
        <v>1362</v>
      </c>
      <c r="F77" s="1327"/>
      <c r="G77" s="1327"/>
      <c r="H77" s="1327"/>
      <c r="I77" s="1327"/>
      <c r="J77" s="1327"/>
      <c r="K77" s="1327" t="s">
        <v>1363</v>
      </c>
    </row>
    <row r="78" spans="2:11" s="1061" customFormat="1" x14ac:dyDescent="0.2">
      <c r="B78" s="1327" t="s">
        <v>1213</v>
      </c>
      <c r="C78" s="1327"/>
      <c r="D78" s="1328" t="s">
        <v>1364</v>
      </c>
      <c r="E78" s="1328" t="s">
        <v>1365</v>
      </c>
      <c r="F78" s="1327"/>
      <c r="G78" s="1327"/>
      <c r="H78" s="1327"/>
      <c r="I78" s="1327"/>
      <c r="J78" s="1327"/>
      <c r="K78" s="1327" t="s">
        <v>1366</v>
      </c>
    </row>
    <row r="79" spans="2:11" s="1061" customFormat="1" x14ac:dyDescent="0.2">
      <c r="B79" s="1327" t="s">
        <v>1213</v>
      </c>
      <c r="C79" s="1327"/>
      <c r="D79" s="1328" t="s">
        <v>1367</v>
      </c>
      <c r="E79" s="1328" t="s">
        <v>1368</v>
      </c>
      <c r="F79" s="1327"/>
      <c r="G79" s="1327"/>
      <c r="H79" s="1327"/>
      <c r="I79" s="1327"/>
      <c r="J79" s="1327"/>
      <c r="K79" s="1327" t="s">
        <v>1369</v>
      </c>
    </row>
    <row r="80" spans="2:11" s="1061" customFormat="1" x14ac:dyDescent="0.2">
      <c r="B80" s="1327" t="s">
        <v>1213</v>
      </c>
      <c r="C80" s="1327"/>
      <c r="D80" s="1328" t="s">
        <v>1370</v>
      </c>
      <c r="E80" s="1328" t="s">
        <v>1371</v>
      </c>
      <c r="F80" s="1327"/>
      <c r="G80" s="1327"/>
      <c r="H80" s="1327"/>
      <c r="I80" s="1327"/>
      <c r="J80" s="1327"/>
      <c r="K80" s="1327" t="s">
        <v>1372</v>
      </c>
    </row>
    <row r="81" spans="2:11" s="1061" customFormat="1" x14ac:dyDescent="0.2">
      <c r="B81" s="1327" t="s">
        <v>1216</v>
      </c>
      <c r="C81" s="1327"/>
      <c r="D81" s="1328" t="s">
        <v>1373</v>
      </c>
      <c r="E81" s="1328" t="s">
        <v>1374</v>
      </c>
      <c r="F81" s="1327"/>
      <c r="G81" s="1327"/>
      <c r="H81" s="1327"/>
      <c r="I81" s="1327"/>
      <c r="J81" s="1327"/>
      <c r="K81" s="1327" t="s">
        <v>1375</v>
      </c>
    </row>
    <row r="82" spans="2:11" s="1061" customFormat="1" x14ac:dyDescent="0.2">
      <c r="B82" s="1327" t="s">
        <v>1216</v>
      </c>
      <c r="C82" s="1327"/>
      <c r="D82" s="1328" t="s">
        <v>1376</v>
      </c>
      <c r="E82" s="1328" t="s">
        <v>1377</v>
      </c>
      <c r="F82" s="1327"/>
      <c r="G82" s="1327"/>
      <c r="H82" s="1327"/>
      <c r="I82" s="1327"/>
      <c r="J82" s="1327"/>
      <c r="K82" s="1327" t="s">
        <v>1378</v>
      </c>
    </row>
    <row r="83" spans="2:11" s="1061" customFormat="1" x14ac:dyDescent="0.2">
      <c r="B83" s="1327" t="s">
        <v>1216</v>
      </c>
      <c r="C83" s="1327"/>
      <c r="D83" s="1328" t="s">
        <v>1379</v>
      </c>
      <c r="E83" s="1328" t="s">
        <v>1380</v>
      </c>
      <c r="F83" s="1327"/>
      <c r="G83" s="1327"/>
      <c r="H83" s="1327"/>
      <c r="I83" s="1327"/>
      <c r="J83" s="1327"/>
      <c r="K83" s="1327" t="s">
        <v>1381</v>
      </c>
    </row>
    <row r="84" spans="2:11" s="1061" customFormat="1" x14ac:dyDescent="0.2">
      <c r="B84" s="1327" t="s">
        <v>1216</v>
      </c>
      <c r="C84" s="1327"/>
      <c r="D84" s="1328" t="s">
        <v>1382</v>
      </c>
      <c r="E84" s="1328" t="s">
        <v>1383</v>
      </c>
      <c r="F84" s="1327"/>
      <c r="G84" s="1327"/>
      <c r="H84" s="1327"/>
      <c r="I84" s="1327"/>
      <c r="J84" s="1327"/>
      <c r="K84" s="1327" t="s">
        <v>1384</v>
      </c>
    </row>
    <row r="85" spans="2:11" s="1061" customFormat="1" x14ac:dyDescent="0.2">
      <c r="B85" s="1327" t="s">
        <v>1216</v>
      </c>
      <c r="C85" s="1327"/>
      <c r="D85" s="1328" t="s">
        <v>1385</v>
      </c>
      <c r="E85" s="1328" t="s">
        <v>1386</v>
      </c>
      <c r="F85" s="1327"/>
      <c r="G85" s="1327"/>
      <c r="H85" s="1327"/>
      <c r="I85" s="1327"/>
      <c r="J85" s="1327"/>
      <c r="K85" s="1327" t="s">
        <v>1387</v>
      </c>
    </row>
    <row r="86" spans="2:11" s="1061" customFormat="1" x14ac:dyDescent="0.2">
      <c r="B86" s="1327" t="s">
        <v>1216</v>
      </c>
      <c r="C86" s="1327"/>
      <c r="D86" s="1328" t="s">
        <v>1388</v>
      </c>
      <c r="E86" s="1328" t="s">
        <v>1389</v>
      </c>
      <c r="F86" s="1327"/>
      <c r="G86" s="1327"/>
      <c r="H86" s="1327"/>
      <c r="I86" s="1327"/>
      <c r="J86" s="1327"/>
      <c r="K86" s="1327" t="s">
        <v>1390</v>
      </c>
    </row>
    <row r="87" spans="2:11" s="1061" customFormat="1" x14ac:dyDescent="0.2">
      <c r="B87" s="1327" t="s">
        <v>1216</v>
      </c>
      <c r="C87" s="1327"/>
      <c r="D87" s="1328" t="s">
        <v>1391</v>
      </c>
      <c r="E87" s="1328" t="s">
        <v>1392</v>
      </c>
      <c r="F87" s="1327"/>
      <c r="G87" s="1327"/>
      <c r="H87" s="1327"/>
      <c r="I87" s="1327"/>
      <c r="J87" s="1327"/>
      <c r="K87" s="1327" t="s">
        <v>1393</v>
      </c>
    </row>
    <row r="88" spans="2:11" s="1061" customFormat="1" x14ac:dyDescent="0.2">
      <c r="B88" s="1327" t="s">
        <v>1218</v>
      </c>
      <c r="C88" s="1327"/>
      <c r="D88" s="1328" t="s">
        <v>1394</v>
      </c>
      <c r="E88" s="1328" t="s">
        <v>1395</v>
      </c>
      <c r="F88" s="1327"/>
      <c r="G88" s="1327"/>
      <c r="H88" s="1327"/>
      <c r="I88" s="1327"/>
      <c r="J88" s="1327"/>
      <c r="K88" s="1327" t="s">
        <v>1396</v>
      </c>
    </row>
    <row r="89" spans="2:11" s="1061" customFormat="1" x14ac:dyDescent="0.2">
      <c r="B89" s="1327" t="s">
        <v>1218</v>
      </c>
      <c r="C89" s="1327"/>
      <c r="D89" s="1328" t="s">
        <v>1397</v>
      </c>
      <c r="E89" s="1328" t="s">
        <v>1099</v>
      </c>
      <c r="F89" s="1327"/>
      <c r="G89" s="1327"/>
      <c r="H89" s="1327"/>
      <c r="I89" s="1327"/>
      <c r="J89" s="1327"/>
      <c r="K89" s="1327" t="s">
        <v>1398</v>
      </c>
    </row>
    <row r="90" spans="2:11" s="1061" customFormat="1" x14ac:dyDescent="0.2">
      <c r="B90" s="1327" t="s">
        <v>1218</v>
      </c>
      <c r="C90" s="1327"/>
      <c r="D90" s="1328" t="s">
        <v>1399</v>
      </c>
      <c r="E90" s="1328" t="s">
        <v>1400</v>
      </c>
      <c r="F90" s="1327"/>
      <c r="G90" s="1327"/>
      <c r="H90" s="1327"/>
      <c r="I90" s="1327"/>
      <c r="J90" s="1327"/>
      <c r="K90" s="1327" t="s">
        <v>1401</v>
      </c>
    </row>
    <row r="91" spans="2:11" s="1061" customFormat="1" x14ac:dyDescent="0.2">
      <c r="B91" s="1327" t="s">
        <v>1221</v>
      </c>
      <c r="C91" s="1327"/>
      <c r="D91" s="1328" t="s">
        <v>1402</v>
      </c>
      <c r="E91" s="1328" t="s">
        <v>1220</v>
      </c>
      <c r="F91" s="1327"/>
      <c r="G91" s="1327"/>
      <c r="H91" s="1327"/>
      <c r="I91" s="1327"/>
      <c r="J91" s="1327"/>
      <c r="K91" s="1327" t="s">
        <v>1403</v>
      </c>
    </row>
    <row r="92" spans="2:11" s="1061" customFormat="1" x14ac:dyDescent="0.2">
      <c r="B92" s="1327" t="s">
        <v>1224</v>
      </c>
      <c r="C92" s="1327"/>
      <c r="D92" s="1328" t="s">
        <v>1404</v>
      </c>
      <c r="E92" s="1328" t="s">
        <v>1405</v>
      </c>
      <c r="F92" s="1327"/>
      <c r="G92" s="1327"/>
      <c r="H92" s="1327"/>
      <c r="I92" s="1327"/>
      <c r="J92" s="1327"/>
      <c r="K92" s="1327" t="s">
        <v>1406</v>
      </c>
    </row>
    <row r="93" spans="2:11" s="1061" customFormat="1" x14ac:dyDescent="0.2">
      <c r="B93" s="1327" t="s">
        <v>1224</v>
      </c>
      <c r="C93" s="1327"/>
      <c r="D93" s="1328" t="s">
        <v>1407</v>
      </c>
      <c r="E93" s="1328" t="s">
        <v>1408</v>
      </c>
      <c r="F93" s="1327"/>
      <c r="G93" s="1327"/>
      <c r="H93" s="1327"/>
      <c r="I93" s="1327"/>
      <c r="J93" s="1327"/>
      <c r="K93" s="1327" t="s">
        <v>1409</v>
      </c>
    </row>
    <row r="95" spans="2:11" x14ac:dyDescent="0.2">
      <c r="B95" s="982" t="s">
        <v>599</v>
      </c>
    </row>
    <row r="96" spans="2:11" x14ac:dyDescent="0.2">
      <c r="B96" s="1327" t="s">
        <v>519</v>
      </c>
      <c r="C96" s="1327" t="s">
        <v>556</v>
      </c>
      <c r="D96" s="1327" t="s">
        <v>601</v>
      </c>
      <c r="E96" s="1327" t="s">
        <v>602</v>
      </c>
      <c r="F96" s="1327"/>
      <c r="G96" s="1327" t="s">
        <v>356</v>
      </c>
    </row>
    <row r="97" spans="2:7" hidden="1" x14ac:dyDescent="0.2">
      <c r="B97" s="1328" t="s">
        <v>273</v>
      </c>
      <c r="C97" s="1351" t="s">
        <v>555</v>
      </c>
      <c r="D97" s="1351" t="s">
        <v>600</v>
      </c>
      <c r="E97" s="1327" t="str">
        <f>C97 &amp; "." &amp; D97 &amp; " " &amp; B97</f>
        <v>[Cost Grouping Number].[Cost Input Number] [Name]</v>
      </c>
      <c r="F97" s="1327"/>
      <c r="G97" s="1327" t="s">
        <v>355</v>
      </c>
    </row>
    <row r="98" spans="2:7" s="1061" customFormat="1" x14ac:dyDescent="0.2">
      <c r="B98" s="1328" t="s">
        <v>1450</v>
      </c>
      <c r="C98" s="1351">
        <v>1</v>
      </c>
      <c r="D98" s="1351">
        <v>0</v>
      </c>
      <c r="E98" s="1327" t="str">
        <f t="shared" ref="E98:E161" si="0">C98 &amp; "." &amp; D98 &amp; " " &amp; B98</f>
        <v>1.0 Human Resources (HR)</v>
      </c>
      <c r="F98" s="1327"/>
      <c r="G98" s="1327" t="s">
        <v>1451</v>
      </c>
    </row>
    <row r="99" spans="2:7" s="1061" customFormat="1" x14ac:dyDescent="0.2">
      <c r="B99" s="1328" t="s">
        <v>1452</v>
      </c>
      <c r="C99" s="1351">
        <v>1</v>
      </c>
      <c r="D99" s="1351">
        <v>1</v>
      </c>
      <c r="E99" s="1327" t="str">
        <f t="shared" si="0"/>
        <v>1.1 Salaries - program management</v>
      </c>
      <c r="F99" s="1327"/>
      <c r="G99" s="1327" t="s">
        <v>1453</v>
      </c>
    </row>
    <row r="100" spans="2:7" s="1061" customFormat="1" x14ac:dyDescent="0.2">
      <c r="B100" s="1328" t="s">
        <v>1454</v>
      </c>
      <c r="C100" s="1351">
        <v>1</v>
      </c>
      <c r="D100" s="1351">
        <v>2</v>
      </c>
      <c r="E100" s="1327" t="str">
        <f t="shared" si="0"/>
        <v>1.2 Salaries - outreach workers, medical staff and other service providers</v>
      </c>
      <c r="F100" s="1327"/>
      <c r="G100" s="1327" t="s">
        <v>1455</v>
      </c>
    </row>
    <row r="101" spans="2:7" s="1061" customFormat="1" x14ac:dyDescent="0.2">
      <c r="B101" s="1328" t="s">
        <v>1456</v>
      </c>
      <c r="C101" s="1351">
        <v>1</v>
      </c>
      <c r="D101" s="1351">
        <v>3</v>
      </c>
      <c r="E101" s="1327" t="str">
        <f t="shared" si="0"/>
        <v>1.3 Performance based suppliments, incentives</v>
      </c>
      <c r="F101" s="1327"/>
      <c r="G101" s="1327" t="s">
        <v>1457</v>
      </c>
    </row>
    <row r="102" spans="2:7" s="1061" customFormat="1" x14ac:dyDescent="0.2">
      <c r="B102" s="1328" t="s">
        <v>1458</v>
      </c>
      <c r="C102" s="1351">
        <v>1</v>
      </c>
      <c r="D102" s="1351">
        <v>4</v>
      </c>
      <c r="E102" s="1327" t="str">
        <f t="shared" si="0"/>
        <v>1.4 Other HR Costs</v>
      </c>
      <c r="F102" s="1327"/>
      <c r="G102" s="1327" t="s">
        <v>1459</v>
      </c>
    </row>
    <row r="103" spans="2:7" s="1061" customFormat="1" x14ac:dyDescent="0.2">
      <c r="B103" s="1328" t="s">
        <v>1460</v>
      </c>
      <c r="C103" s="1351">
        <v>2</v>
      </c>
      <c r="D103" s="1351">
        <v>0</v>
      </c>
      <c r="E103" s="1327" t="str">
        <f t="shared" si="0"/>
        <v>2.0 Travel related costs (TRC)</v>
      </c>
      <c r="F103" s="1327"/>
      <c r="G103" s="1327" t="s">
        <v>1461</v>
      </c>
    </row>
    <row r="104" spans="2:7" s="1061" customFormat="1" x14ac:dyDescent="0.2">
      <c r="B104" s="1328" t="s">
        <v>1462</v>
      </c>
      <c r="C104" s="1351">
        <v>2</v>
      </c>
      <c r="D104" s="1351">
        <v>1</v>
      </c>
      <c r="E104" s="1327" t="str">
        <f t="shared" si="0"/>
        <v>2.1 Training related per diems/transport/other costs</v>
      </c>
      <c r="F104" s="1327"/>
      <c r="G104" s="1327" t="s">
        <v>1463</v>
      </c>
    </row>
    <row r="105" spans="2:7" s="1061" customFormat="1" x14ac:dyDescent="0.2">
      <c r="B105" s="1328" t="s">
        <v>1464</v>
      </c>
      <c r="C105" s="1351">
        <v>2</v>
      </c>
      <c r="D105" s="1351">
        <v>2</v>
      </c>
      <c r="E105" s="1327" t="str">
        <f t="shared" si="0"/>
        <v>2.2 Technical assistance-related per diems/transport/other costs</v>
      </c>
      <c r="F105" s="1327"/>
      <c r="G105" s="1327" t="s">
        <v>1465</v>
      </c>
    </row>
    <row r="106" spans="2:7" s="1061" customFormat="1" x14ac:dyDescent="0.2">
      <c r="B106" s="1328" t="s">
        <v>1466</v>
      </c>
      <c r="C106" s="1351">
        <v>2</v>
      </c>
      <c r="D106" s="1351">
        <v>3</v>
      </c>
      <c r="E106" s="1327" t="str">
        <f t="shared" si="0"/>
        <v>2.3 Supervision/surveys/data collection related per diems/transport/other costs</v>
      </c>
      <c r="F106" s="1327"/>
      <c r="G106" s="1327" t="s">
        <v>1467</v>
      </c>
    </row>
    <row r="107" spans="2:7" s="1061" customFormat="1" x14ac:dyDescent="0.2">
      <c r="B107" s="1328" t="s">
        <v>1468</v>
      </c>
      <c r="C107" s="1351">
        <v>2</v>
      </c>
      <c r="D107" s="1351">
        <v>4</v>
      </c>
      <c r="E107" s="1327" t="str">
        <f t="shared" si="0"/>
        <v>2.4 Meeting/Advocacy related per diems/transport/other costs</v>
      </c>
      <c r="F107" s="1327"/>
      <c r="G107" s="1327" t="s">
        <v>1469</v>
      </c>
    </row>
    <row r="108" spans="2:7" s="1061" customFormat="1" x14ac:dyDescent="0.2">
      <c r="B108" s="1328" t="s">
        <v>1470</v>
      </c>
      <c r="C108" s="1351">
        <v>2</v>
      </c>
      <c r="D108" s="1351">
        <v>5</v>
      </c>
      <c r="E108" s="1327" t="str">
        <f t="shared" si="0"/>
        <v>2.5 Other Transportation costs</v>
      </c>
      <c r="F108" s="1327"/>
      <c r="G108" s="1327" t="s">
        <v>1471</v>
      </c>
    </row>
    <row r="109" spans="2:7" s="1061" customFormat="1" x14ac:dyDescent="0.2">
      <c r="B109" s="1328" t="s">
        <v>1472</v>
      </c>
      <c r="C109" s="1351">
        <v>3</v>
      </c>
      <c r="D109" s="1351">
        <v>0</v>
      </c>
      <c r="E109" s="1327" t="str">
        <f t="shared" si="0"/>
        <v>3.0 External Professional services (EPS)</v>
      </c>
      <c r="F109" s="1327"/>
      <c r="G109" s="1327" t="s">
        <v>1473</v>
      </c>
    </row>
    <row r="110" spans="2:7" s="1061" customFormat="1" x14ac:dyDescent="0.2">
      <c r="B110" s="1328" t="s">
        <v>1474</v>
      </c>
      <c r="C110" s="1351">
        <v>3</v>
      </c>
      <c r="D110" s="1351">
        <v>1</v>
      </c>
      <c r="E110" s="1327" t="str">
        <f t="shared" si="0"/>
        <v>3.1 Technical Assistance Fees/Consultants</v>
      </c>
      <c r="F110" s="1327"/>
      <c r="G110" s="1327" t="s">
        <v>1475</v>
      </c>
    </row>
    <row r="111" spans="2:7" s="1061" customFormat="1" x14ac:dyDescent="0.2">
      <c r="B111" s="1328" t="s">
        <v>1476</v>
      </c>
      <c r="C111" s="1351">
        <v>3</v>
      </c>
      <c r="D111" s="1351">
        <v>2</v>
      </c>
      <c r="E111" s="1327" t="str">
        <f t="shared" si="0"/>
        <v>3.2 Fiscal/Fiduciary Agent fees</v>
      </c>
      <c r="F111" s="1327"/>
      <c r="G111" s="1327" t="s">
        <v>1477</v>
      </c>
    </row>
    <row r="112" spans="2:7" s="1061" customFormat="1" x14ac:dyDescent="0.2">
      <c r="B112" s="1328" t="s">
        <v>1478</v>
      </c>
      <c r="C112" s="1351">
        <v>3</v>
      </c>
      <c r="D112" s="1351">
        <v>3</v>
      </c>
      <c r="E112" s="1327" t="str">
        <f t="shared" si="0"/>
        <v>3.3 External audit fees</v>
      </c>
      <c r="F112" s="1327"/>
      <c r="G112" s="1327" t="s">
        <v>1479</v>
      </c>
    </row>
    <row r="113" spans="2:7" s="1061" customFormat="1" x14ac:dyDescent="0.2">
      <c r="B113" s="1328" t="s">
        <v>1480</v>
      </c>
      <c r="C113" s="1351">
        <v>3</v>
      </c>
      <c r="D113" s="1351">
        <v>4</v>
      </c>
      <c r="E113" s="1327" t="str">
        <f t="shared" si="0"/>
        <v>3.4 Other external professional services</v>
      </c>
      <c r="F113" s="1327"/>
      <c r="G113" s="1327" t="s">
        <v>1481</v>
      </c>
    </row>
    <row r="114" spans="2:7" s="1061" customFormat="1" x14ac:dyDescent="0.2">
      <c r="B114" s="1328" t="s">
        <v>1482</v>
      </c>
      <c r="C114" s="1351">
        <v>3</v>
      </c>
      <c r="D114" s="1351">
        <v>5</v>
      </c>
      <c r="E114" s="1327" t="str">
        <f t="shared" si="0"/>
        <v>3.5 Insurance related costs (EPS)</v>
      </c>
      <c r="F114" s="1327"/>
      <c r="G114" s="1327" t="s">
        <v>1483</v>
      </c>
    </row>
    <row r="115" spans="2:7" s="1061" customFormat="1" x14ac:dyDescent="0.2">
      <c r="B115" s="1328" t="s">
        <v>1484</v>
      </c>
      <c r="C115" s="1351">
        <v>4</v>
      </c>
      <c r="D115" s="1351">
        <v>0</v>
      </c>
      <c r="E115" s="1327" t="str">
        <f t="shared" si="0"/>
        <v>4.0 Health Products - Pharmaceutical Products (HPPP)</v>
      </c>
      <c r="F115" s="1327"/>
      <c r="G115" s="1327" t="s">
        <v>1485</v>
      </c>
    </row>
    <row r="116" spans="2:7" s="1061" customFormat="1" x14ac:dyDescent="0.2">
      <c r="B116" s="1328" t="s">
        <v>1486</v>
      </c>
      <c r="C116" s="1351">
        <v>4</v>
      </c>
      <c r="D116" s="1351">
        <v>1</v>
      </c>
      <c r="E116" s="1327" t="str">
        <f t="shared" si="0"/>
        <v>4.1 Antiretroviral medicines</v>
      </c>
      <c r="F116" s="1327"/>
      <c r="G116" s="1327" t="s">
        <v>1487</v>
      </c>
    </row>
    <row r="117" spans="2:7" s="1061" customFormat="1" x14ac:dyDescent="0.2">
      <c r="B117" s="1328" t="s">
        <v>1488</v>
      </c>
      <c r="C117" s="1351">
        <v>4</v>
      </c>
      <c r="D117" s="1351">
        <v>2</v>
      </c>
      <c r="E117" s="1327" t="str">
        <f t="shared" si="0"/>
        <v>4.2 Anti-tuberculosis medicines</v>
      </c>
      <c r="F117" s="1327"/>
      <c r="G117" s="1327" t="s">
        <v>1489</v>
      </c>
    </row>
    <row r="118" spans="2:7" s="1061" customFormat="1" x14ac:dyDescent="0.2">
      <c r="B118" s="1328" t="s">
        <v>1490</v>
      </c>
      <c r="C118" s="1351">
        <v>4</v>
      </c>
      <c r="D118" s="1351">
        <v>3</v>
      </c>
      <c r="E118" s="1327" t="str">
        <f t="shared" si="0"/>
        <v>4.3 Antimalarial medicines</v>
      </c>
      <c r="F118" s="1327"/>
      <c r="G118" s="1327" t="s">
        <v>1491</v>
      </c>
    </row>
    <row r="119" spans="2:7" s="1061" customFormat="1" x14ac:dyDescent="0.2">
      <c r="B119" s="1328" t="s">
        <v>1492</v>
      </c>
      <c r="C119" s="1351">
        <v>4</v>
      </c>
      <c r="D119" s="1351">
        <v>4</v>
      </c>
      <c r="E119" s="1327" t="str">
        <f t="shared" si="0"/>
        <v>4.4 Opioid substitution medicines</v>
      </c>
      <c r="F119" s="1327"/>
      <c r="G119" s="1327" t="s">
        <v>1493</v>
      </c>
    </row>
    <row r="120" spans="2:7" s="1061" customFormat="1" x14ac:dyDescent="0.2">
      <c r="B120" s="1328" t="s">
        <v>1494</v>
      </c>
      <c r="C120" s="1351">
        <v>4</v>
      </c>
      <c r="D120" s="1351">
        <v>5</v>
      </c>
      <c r="E120" s="1327" t="str">
        <f t="shared" si="0"/>
        <v>4.5 Opportunistic infections and STI medicines</v>
      </c>
      <c r="F120" s="1327"/>
      <c r="G120" s="1327" t="s">
        <v>1495</v>
      </c>
    </row>
    <row r="121" spans="2:7" s="1061" customFormat="1" x14ac:dyDescent="0.2">
      <c r="B121" s="1328" t="s">
        <v>1496</v>
      </c>
      <c r="C121" s="1351">
        <v>4</v>
      </c>
      <c r="D121" s="1351">
        <v>6</v>
      </c>
      <c r="E121" s="1327" t="str">
        <f t="shared" si="0"/>
        <v>4.6 Private Sector subsidies for ACTs (co-payment to 4.3)</v>
      </c>
      <c r="F121" s="1327"/>
      <c r="G121" s="1327" t="s">
        <v>1497</v>
      </c>
    </row>
    <row r="122" spans="2:7" s="1061" customFormat="1" x14ac:dyDescent="0.2">
      <c r="B122" s="1328" t="s">
        <v>1498</v>
      </c>
      <c r="C122" s="1351">
        <v>4</v>
      </c>
      <c r="D122" s="1351">
        <v>7</v>
      </c>
      <c r="E122" s="1327" t="str">
        <f t="shared" si="0"/>
        <v>4.7 Other medicines</v>
      </c>
      <c r="F122" s="1327"/>
      <c r="G122" s="1327" t="s">
        <v>1499</v>
      </c>
    </row>
    <row r="123" spans="2:7" s="1061" customFormat="1" x14ac:dyDescent="0.2">
      <c r="B123" s="1328" t="s">
        <v>1500</v>
      </c>
      <c r="C123" s="1351">
        <v>5</v>
      </c>
      <c r="D123" s="1351">
        <v>0</v>
      </c>
      <c r="E123" s="1327" t="str">
        <f t="shared" si="0"/>
        <v>5.0 Health Products - Non-Pharmaceuticals (HPNP)</v>
      </c>
      <c r="F123" s="1327"/>
      <c r="G123" s="1327" t="s">
        <v>1501</v>
      </c>
    </row>
    <row r="124" spans="2:7" s="1061" customFormat="1" x14ac:dyDescent="0.2">
      <c r="B124" s="1328" t="s">
        <v>1502</v>
      </c>
      <c r="C124" s="1351">
        <v>5</v>
      </c>
      <c r="D124" s="1351">
        <v>1</v>
      </c>
      <c r="E124" s="1327" t="str">
        <f t="shared" si="0"/>
        <v>5.1 Insecticide-treated Nets (LLINs/ITNs)</v>
      </c>
      <c r="F124" s="1327"/>
      <c r="G124" s="1327" t="s">
        <v>1503</v>
      </c>
    </row>
    <row r="125" spans="2:7" s="1061" customFormat="1" x14ac:dyDescent="0.2">
      <c r="B125" s="1328" t="s">
        <v>1504</v>
      </c>
      <c r="C125" s="1351">
        <v>5</v>
      </c>
      <c r="D125" s="1351">
        <v>2</v>
      </c>
      <c r="E125" s="1327" t="str">
        <f t="shared" si="0"/>
        <v>5.2 Condoms - Male</v>
      </c>
      <c r="F125" s="1327"/>
      <c r="G125" s="1327" t="s">
        <v>1505</v>
      </c>
    </row>
    <row r="126" spans="2:7" s="1061" customFormat="1" x14ac:dyDescent="0.2">
      <c r="B126" s="1328" t="s">
        <v>1506</v>
      </c>
      <c r="C126" s="1351">
        <v>5</v>
      </c>
      <c r="D126" s="1351">
        <v>3</v>
      </c>
      <c r="E126" s="1327" t="str">
        <f t="shared" si="0"/>
        <v>5.3 Condoms - Female</v>
      </c>
      <c r="F126" s="1327"/>
      <c r="G126" s="1327" t="s">
        <v>1507</v>
      </c>
    </row>
    <row r="127" spans="2:7" s="1061" customFormat="1" x14ac:dyDescent="0.2">
      <c r="B127" s="1328" t="s">
        <v>1508</v>
      </c>
      <c r="C127" s="1351">
        <v>5</v>
      </c>
      <c r="D127" s="1351">
        <v>4</v>
      </c>
      <c r="E127" s="1327" t="str">
        <f t="shared" si="0"/>
        <v>5.4 Rapid Diagnostic Test</v>
      </c>
      <c r="F127" s="1327"/>
      <c r="G127" s="1327" t="s">
        <v>1509</v>
      </c>
    </row>
    <row r="128" spans="2:7" s="1061" customFormat="1" x14ac:dyDescent="0.2">
      <c r="B128" s="1328" t="s">
        <v>1510</v>
      </c>
      <c r="C128" s="1351">
        <v>5</v>
      </c>
      <c r="D128" s="1351">
        <v>5</v>
      </c>
      <c r="E128" s="1327" t="str">
        <f t="shared" si="0"/>
        <v>5.5 Insecticides</v>
      </c>
      <c r="F128" s="1327"/>
      <c r="G128" s="1327" t="s">
        <v>1511</v>
      </c>
    </row>
    <row r="129" spans="2:7" s="1061" customFormat="1" x14ac:dyDescent="0.2">
      <c r="B129" s="1328" t="s">
        <v>1512</v>
      </c>
      <c r="C129" s="1351">
        <v>5</v>
      </c>
      <c r="D129" s="1351">
        <v>6</v>
      </c>
      <c r="E129" s="1327" t="str">
        <f t="shared" si="0"/>
        <v>5.6 Laboratory reagents</v>
      </c>
      <c r="F129" s="1327"/>
      <c r="G129" s="1327" t="s">
        <v>1513</v>
      </c>
    </row>
    <row r="130" spans="2:7" s="1061" customFormat="1" x14ac:dyDescent="0.2">
      <c r="B130" s="1328" t="s">
        <v>1514</v>
      </c>
      <c r="C130" s="1351">
        <v>5</v>
      </c>
      <c r="D130" s="1351">
        <v>7</v>
      </c>
      <c r="E130" s="1327" t="str">
        <f t="shared" si="0"/>
        <v>5.7 Syringes and needles</v>
      </c>
      <c r="F130" s="1327"/>
      <c r="G130" s="1327" t="s">
        <v>1515</v>
      </c>
    </row>
    <row r="131" spans="2:7" s="1061" customFormat="1" x14ac:dyDescent="0.2">
      <c r="B131" s="1328" t="s">
        <v>1516</v>
      </c>
      <c r="C131" s="1351">
        <v>5</v>
      </c>
      <c r="D131" s="1351">
        <v>8</v>
      </c>
      <c r="E131" s="1327" t="str">
        <f t="shared" si="0"/>
        <v>5.8 Other consumables</v>
      </c>
      <c r="F131" s="1327"/>
      <c r="G131" s="1327" t="s">
        <v>1517</v>
      </c>
    </row>
    <row r="132" spans="2:7" s="1061" customFormat="1" x14ac:dyDescent="0.2">
      <c r="B132" s="1328" t="s">
        <v>1518</v>
      </c>
      <c r="C132" s="1351">
        <v>5</v>
      </c>
      <c r="D132" s="1351">
        <v>9</v>
      </c>
      <c r="E132" s="1327" t="str">
        <f t="shared" si="0"/>
        <v>5.9 Private Sector subsidies for RDTs (co-payment to 5.4)</v>
      </c>
      <c r="F132" s="1327"/>
      <c r="G132" s="1327" t="s">
        <v>1519</v>
      </c>
    </row>
    <row r="133" spans="2:7" s="1061" customFormat="1" x14ac:dyDescent="0.2">
      <c r="B133" s="1328" t="s">
        <v>1520</v>
      </c>
      <c r="C133" s="1351">
        <v>6</v>
      </c>
      <c r="D133" s="1351">
        <v>0</v>
      </c>
      <c r="E133" s="1327" t="str">
        <f t="shared" si="0"/>
        <v>6.0 Health Products - Equipment (HPE)</v>
      </c>
      <c r="F133" s="1327"/>
      <c r="G133" s="1327" t="s">
        <v>1521</v>
      </c>
    </row>
    <row r="134" spans="2:7" s="1061" customFormat="1" x14ac:dyDescent="0.2">
      <c r="B134" s="1328" t="s">
        <v>1522</v>
      </c>
      <c r="C134" s="1351">
        <v>6</v>
      </c>
      <c r="D134" s="1351">
        <v>1</v>
      </c>
      <c r="E134" s="1327" t="str">
        <f t="shared" si="0"/>
        <v>6.1 CD4 analyser/accessories</v>
      </c>
      <c r="F134" s="1327"/>
      <c r="G134" s="1327" t="s">
        <v>1523</v>
      </c>
    </row>
    <row r="135" spans="2:7" s="1061" customFormat="1" x14ac:dyDescent="0.2">
      <c r="B135" s="1328" t="s">
        <v>1524</v>
      </c>
      <c r="C135" s="1351">
        <v>6</v>
      </c>
      <c r="D135" s="1351">
        <v>2</v>
      </c>
      <c r="E135" s="1327" t="str">
        <f t="shared" si="0"/>
        <v>6.2 HIV Viral Load analyser/accessories</v>
      </c>
      <c r="F135" s="1327"/>
      <c r="G135" s="1327" t="s">
        <v>1525</v>
      </c>
    </row>
    <row r="136" spans="2:7" s="1061" customFormat="1" x14ac:dyDescent="0.2">
      <c r="B136" s="1328" t="s">
        <v>1526</v>
      </c>
      <c r="C136" s="1351">
        <v>6</v>
      </c>
      <c r="D136" s="1351">
        <v>3</v>
      </c>
      <c r="E136" s="1327" t="str">
        <f t="shared" si="0"/>
        <v>6.3 Microscopes</v>
      </c>
      <c r="F136" s="1327"/>
      <c r="G136" s="1327" t="s">
        <v>1527</v>
      </c>
    </row>
    <row r="137" spans="2:7" s="1061" customFormat="1" x14ac:dyDescent="0.2">
      <c r="B137" s="1328" t="s">
        <v>1528</v>
      </c>
      <c r="C137" s="1351">
        <v>6</v>
      </c>
      <c r="D137" s="1351">
        <v>4</v>
      </c>
      <c r="E137" s="1327" t="str">
        <f t="shared" si="0"/>
        <v>6.4 TB Molecular Test equipment</v>
      </c>
      <c r="F137" s="1327"/>
      <c r="G137" s="1327" t="s">
        <v>1529</v>
      </c>
    </row>
    <row r="138" spans="2:7" s="1061" customFormat="1" x14ac:dyDescent="0.2">
      <c r="B138" s="1328" t="s">
        <v>1530</v>
      </c>
      <c r="C138" s="1351">
        <v>6</v>
      </c>
      <c r="D138" s="1351">
        <v>5</v>
      </c>
      <c r="E138" s="1327" t="str">
        <f t="shared" si="0"/>
        <v>6.5 Maintenance and service costs for health equipment</v>
      </c>
      <c r="F138" s="1327"/>
      <c r="G138" s="1327" t="s">
        <v>1531</v>
      </c>
    </row>
    <row r="139" spans="2:7" s="1061" customFormat="1" x14ac:dyDescent="0.2">
      <c r="B139" s="1328" t="s">
        <v>1532</v>
      </c>
      <c r="C139" s="1351">
        <v>6</v>
      </c>
      <c r="D139" s="1351">
        <v>6</v>
      </c>
      <c r="E139" s="1327" t="str">
        <f t="shared" si="0"/>
        <v>6.6 Other health equipment</v>
      </c>
      <c r="F139" s="1327"/>
      <c r="G139" s="1327" t="s">
        <v>1533</v>
      </c>
    </row>
    <row r="140" spans="2:7" s="1061" customFormat="1" x14ac:dyDescent="0.2">
      <c r="B140" s="1328" t="s">
        <v>1534</v>
      </c>
      <c r="C140" s="1351">
        <v>7</v>
      </c>
      <c r="D140" s="1351">
        <v>0</v>
      </c>
      <c r="E140" s="1327" t="str">
        <f t="shared" si="0"/>
        <v>7.0 Procurement and Supply-Chain Management costs (PSM)</v>
      </c>
      <c r="F140" s="1327"/>
      <c r="G140" s="1327" t="s">
        <v>1535</v>
      </c>
    </row>
    <row r="141" spans="2:7" s="1061" customFormat="1" x14ac:dyDescent="0.2">
      <c r="B141" s="1328" t="s">
        <v>1536</v>
      </c>
      <c r="C141" s="1351">
        <v>7</v>
      </c>
      <c r="D141" s="1351">
        <v>1</v>
      </c>
      <c r="E141" s="1327" t="str">
        <f t="shared" si="0"/>
        <v>7.1 Procurement agent and handling fees</v>
      </c>
      <c r="F141" s="1327"/>
      <c r="G141" s="1327" t="s">
        <v>1537</v>
      </c>
    </row>
    <row r="142" spans="2:7" s="1061" customFormat="1" x14ac:dyDescent="0.2">
      <c r="B142" s="1328" t="s">
        <v>1538</v>
      </c>
      <c r="C142" s="1351">
        <v>7</v>
      </c>
      <c r="D142" s="1351">
        <v>2</v>
      </c>
      <c r="E142" s="1327" t="str">
        <f t="shared" si="0"/>
        <v>7.2 Freight and insurance costs (Health products)</v>
      </c>
      <c r="F142" s="1327"/>
      <c r="G142" s="1327" t="s">
        <v>1539</v>
      </c>
    </row>
    <row r="143" spans="2:7" s="1061" customFormat="1" x14ac:dyDescent="0.2">
      <c r="B143" s="1328" t="s">
        <v>1540</v>
      </c>
      <c r="C143" s="1351">
        <v>7</v>
      </c>
      <c r="D143" s="1351">
        <v>3</v>
      </c>
      <c r="E143" s="1327" t="str">
        <f t="shared" si="0"/>
        <v>7.3 Warehouse and Storage Costs</v>
      </c>
      <c r="F143" s="1327"/>
      <c r="G143" s="1327" t="s">
        <v>1541</v>
      </c>
    </row>
    <row r="144" spans="2:7" s="1061" customFormat="1" x14ac:dyDescent="0.2">
      <c r="B144" s="1328" t="s">
        <v>1542</v>
      </c>
      <c r="C144" s="1351">
        <v>7</v>
      </c>
      <c r="D144" s="1351">
        <v>4</v>
      </c>
      <c r="E144" s="1327" t="str">
        <f t="shared" si="0"/>
        <v>7.4 In-country distribution costs</v>
      </c>
      <c r="F144" s="1327"/>
      <c r="G144" s="1327" t="s">
        <v>1543</v>
      </c>
    </row>
    <row r="145" spans="2:7" s="1061" customFormat="1" x14ac:dyDescent="0.2">
      <c r="B145" s="1328" t="s">
        <v>1544</v>
      </c>
      <c r="C145" s="1351">
        <v>7</v>
      </c>
      <c r="D145" s="1351">
        <v>5</v>
      </c>
      <c r="E145" s="1327" t="str">
        <f t="shared" si="0"/>
        <v>7.5 Quality assurance and quality control costs (QA/QC)</v>
      </c>
      <c r="F145" s="1327"/>
      <c r="G145" s="1327" t="s">
        <v>1545</v>
      </c>
    </row>
    <row r="146" spans="2:7" s="1061" customFormat="1" x14ac:dyDescent="0.2">
      <c r="B146" s="1328" t="s">
        <v>1546</v>
      </c>
      <c r="C146" s="1351">
        <v>7</v>
      </c>
      <c r="D146" s="1351">
        <v>6</v>
      </c>
      <c r="E146" s="1327" t="str">
        <f t="shared" si="0"/>
        <v>7.6 PSM Customs Clearance</v>
      </c>
      <c r="F146" s="1327"/>
      <c r="G146" s="1327" t="s">
        <v>1547</v>
      </c>
    </row>
    <row r="147" spans="2:7" s="1061" customFormat="1" x14ac:dyDescent="0.2">
      <c r="B147" s="1328" t="s">
        <v>1548</v>
      </c>
      <c r="C147" s="1351">
        <v>7</v>
      </c>
      <c r="D147" s="1351">
        <v>7</v>
      </c>
      <c r="E147" s="1327" t="str">
        <f t="shared" si="0"/>
        <v>7.7 Other PSM costs</v>
      </c>
      <c r="F147" s="1327"/>
      <c r="G147" s="1327" t="s">
        <v>1549</v>
      </c>
    </row>
    <row r="148" spans="2:7" s="1061" customFormat="1" x14ac:dyDescent="0.2">
      <c r="B148" s="1328" t="s">
        <v>1550</v>
      </c>
      <c r="C148" s="1351">
        <v>8</v>
      </c>
      <c r="D148" s="1351">
        <v>0</v>
      </c>
      <c r="E148" s="1327" t="str">
        <f t="shared" si="0"/>
        <v>8.0 Infrastructure (INF)</v>
      </c>
      <c r="F148" s="1327"/>
      <c r="G148" s="1327" t="s">
        <v>1551</v>
      </c>
    </row>
    <row r="149" spans="2:7" s="1061" customFormat="1" x14ac:dyDescent="0.2">
      <c r="B149" s="1328" t="s">
        <v>1552</v>
      </c>
      <c r="C149" s="1351">
        <v>8</v>
      </c>
      <c r="D149" s="1351">
        <v>1</v>
      </c>
      <c r="E149" s="1327" t="str">
        <f t="shared" si="0"/>
        <v>8.1 Furniture</v>
      </c>
      <c r="F149" s="1327"/>
      <c r="G149" s="1327" t="s">
        <v>1553</v>
      </c>
    </row>
    <row r="150" spans="2:7" s="1061" customFormat="1" x14ac:dyDescent="0.2">
      <c r="B150" s="1328" t="s">
        <v>1554</v>
      </c>
      <c r="C150" s="1351">
        <v>8</v>
      </c>
      <c r="D150" s="1351">
        <v>2</v>
      </c>
      <c r="E150" s="1327" t="str">
        <f t="shared" si="0"/>
        <v>8.2 Renovation/constructions</v>
      </c>
      <c r="F150" s="1327"/>
      <c r="G150" s="1327" t="s">
        <v>1555</v>
      </c>
    </row>
    <row r="151" spans="2:7" s="1061" customFormat="1" x14ac:dyDescent="0.2">
      <c r="B151" s="1328" t="s">
        <v>1556</v>
      </c>
      <c r="C151" s="1351">
        <v>8</v>
      </c>
      <c r="D151" s="1351">
        <v>3</v>
      </c>
      <c r="E151" s="1327" t="str">
        <f t="shared" si="0"/>
        <v>8.3 Infrastructure maintenance and other INF costs</v>
      </c>
      <c r="F151" s="1327"/>
      <c r="G151" s="1327" t="s">
        <v>1557</v>
      </c>
    </row>
    <row r="152" spans="2:7" s="1061" customFormat="1" x14ac:dyDescent="0.2">
      <c r="B152" s="1328" t="s">
        <v>1558</v>
      </c>
      <c r="C152" s="1351">
        <v>9</v>
      </c>
      <c r="D152" s="1351">
        <v>0</v>
      </c>
      <c r="E152" s="1327" t="str">
        <f t="shared" si="0"/>
        <v>9.0 Non-health equipment (NHP)</v>
      </c>
      <c r="F152" s="1327"/>
      <c r="G152" s="1327" t="s">
        <v>1559</v>
      </c>
    </row>
    <row r="153" spans="2:7" s="1061" customFormat="1" x14ac:dyDescent="0.2">
      <c r="B153" s="1328" t="s">
        <v>1560</v>
      </c>
      <c r="C153" s="1351">
        <v>9</v>
      </c>
      <c r="D153" s="1351">
        <v>1</v>
      </c>
      <c r="E153" s="1327" t="str">
        <f t="shared" si="0"/>
        <v>9.1 IT - Computers, computer equipment, Software and applications</v>
      </c>
      <c r="F153" s="1327"/>
      <c r="G153" s="1327" t="s">
        <v>1561</v>
      </c>
    </row>
    <row r="154" spans="2:7" s="1061" customFormat="1" x14ac:dyDescent="0.2">
      <c r="B154" s="1328" t="s">
        <v>1562</v>
      </c>
      <c r="C154" s="1351">
        <v>9</v>
      </c>
      <c r="D154" s="1351">
        <v>2</v>
      </c>
      <c r="E154" s="1327" t="str">
        <f t="shared" si="0"/>
        <v>9.2 Vehicles</v>
      </c>
      <c r="F154" s="1327"/>
      <c r="G154" s="1327" t="s">
        <v>1563</v>
      </c>
    </row>
    <row r="155" spans="2:7" s="1061" customFormat="1" x14ac:dyDescent="0.2">
      <c r="B155" s="1328" t="s">
        <v>1564</v>
      </c>
      <c r="C155" s="1351">
        <v>9</v>
      </c>
      <c r="D155" s="1351">
        <v>3</v>
      </c>
      <c r="E155" s="1327" t="str">
        <f t="shared" si="0"/>
        <v>9.3 Other non-health equipment</v>
      </c>
      <c r="F155" s="1327"/>
      <c r="G155" s="1327" t="s">
        <v>1565</v>
      </c>
    </row>
    <row r="156" spans="2:7" s="1061" customFormat="1" x14ac:dyDescent="0.2">
      <c r="B156" s="1328" t="s">
        <v>1566</v>
      </c>
      <c r="C156" s="1351">
        <v>9</v>
      </c>
      <c r="D156" s="1351">
        <v>4</v>
      </c>
      <c r="E156" s="1327" t="str">
        <f t="shared" si="0"/>
        <v>9.4 Maintenance and service costs non-health equipment</v>
      </c>
      <c r="F156" s="1327"/>
      <c r="G156" s="1327" t="s">
        <v>1567</v>
      </c>
    </row>
    <row r="157" spans="2:7" s="1061" customFormat="1" x14ac:dyDescent="0.2">
      <c r="B157" s="1328" t="s">
        <v>1568</v>
      </c>
      <c r="C157" s="1351">
        <v>10</v>
      </c>
      <c r="D157" s="1351">
        <v>0</v>
      </c>
      <c r="E157" s="1327" t="str">
        <f t="shared" si="0"/>
        <v>10.0 Communication Material and Publications (CMP)</v>
      </c>
      <c r="F157" s="1327"/>
      <c r="G157" s="1327" t="s">
        <v>1569</v>
      </c>
    </row>
    <row r="158" spans="2:7" s="1061" customFormat="1" x14ac:dyDescent="0.2">
      <c r="B158" s="1328" t="s">
        <v>1570</v>
      </c>
      <c r="C158" s="1351">
        <v>10</v>
      </c>
      <c r="D158" s="1351">
        <v>1</v>
      </c>
      <c r="E158" s="1327" t="str">
        <f t="shared" si="0"/>
        <v>10.1 Printed materials (forms, books, guidelines, brochure, leaflets...)</v>
      </c>
      <c r="F158" s="1327"/>
      <c r="G158" s="1327" t="s">
        <v>1571</v>
      </c>
    </row>
    <row r="159" spans="2:7" s="1061" customFormat="1" x14ac:dyDescent="0.2">
      <c r="B159" s="1328" t="s">
        <v>1572</v>
      </c>
      <c r="C159" s="1351">
        <v>10</v>
      </c>
      <c r="D159" s="1351">
        <v>2</v>
      </c>
      <c r="E159" s="1327" t="str">
        <f t="shared" si="0"/>
        <v>10.2 Television/Radio spots and programmes</v>
      </c>
      <c r="F159" s="1327"/>
      <c r="G159" s="1327" t="s">
        <v>1573</v>
      </c>
    </row>
    <row r="160" spans="2:7" s="1061" customFormat="1" x14ac:dyDescent="0.2">
      <c r="B160" s="1328" t="s">
        <v>1574</v>
      </c>
      <c r="C160" s="1351">
        <v>10</v>
      </c>
      <c r="D160" s="1351">
        <v>3</v>
      </c>
      <c r="E160" s="1327" t="str">
        <f t="shared" si="0"/>
        <v>10.3 Promotional Material (t-shirts, mugs, pins...) and other CMP costs</v>
      </c>
      <c r="F160" s="1327"/>
      <c r="G160" s="1327" t="s">
        <v>1575</v>
      </c>
    </row>
    <row r="161" spans="2:7" s="1061" customFormat="1" x14ac:dyDescent="0.2">
      <c r="B161" s="1328" t="s">
        <v>1576</v>
      </c>
      <c r="C161" s="1351">
        <v>11</v>
      </c>
      <c r="D161" s="1351">
        <v>0</v>
      </c>
      <c r="E161" s="1327" t="str">
        <f t="shared" si="0"/>
        <v>11.0 Programme Administration costs (PA)</v>
      </c>
      <c r="F161" s="1327"/>
      <c r="G161" s="1327" t="s">
        <v>1577</v>
      </c>
    </row>
    <row r="162" spans="2:7" s="1061" customFormat="1" x14ac:dyDescent="0.2">
      <c r="B162" s="1328" t="s">
        <v>1578</v>
      </c>
      <c r="C162" s="1351">
        <v>11</v>
      </c>
      <c r="D162" s="1351">
        <v>1</v>
      </c>
      <c r="E162" s="1327" t="str">
        <f t="shared" ref="E162:E173" si="1">C162 &amp; "." &amp; D162 &amp; " " &amp; B162</f>
        <v>11.1 Office related costs</v>
      </c>
      <c r="F162" s="1327"/>
      <c r="G162" s="1327" t="s">
        <v>1579</v>
      </c>
    </row>
    <row r="163" spans="2:7" s="1061" customFormat="1" x14ac:dyDescent="0.2">
      <c r="B163" s="1328" t="s">
        <v>1580</v>
      </c>
      <c r="C163" s="1351">
        <v>11</v>
      </c>
      <c r="D163" s="1351">
        <v>2</v>
      </c>
      <c r="E163" s="1327" t="str">
        <f t="shared" si="1"/>
        <v>11.2 Unrecoverable taxes and duties</v>
      </c>
      <c r="F163" s="1327"/>
      <c r="G163" s="1327" t="s">
        <v>1581</v>
      </c>
    </row>
    <row r="164" spans="2:7" s="1061" customFormat="1" x14ac:dyDescent="0.2">
      <c r="B164" s="1328" t="s">
        <v>1582</v>
      </c>
      <c r="C164" s="1351">
        <v>11</v>
      </c>
      <c r="D164" s="1351">
        <v>3</v>
      </c>
      <c r="E164" s="1327" t="str">
        <f t="shared" si="1"/>
        <v>11.3 Indirect cost recovery (ICR) - % based</v>
      </c>
      <c r="F164" s="1327"/>
      <c r="G164" s="1327" t="s">
        <v>1583</v>
      </c>
    </row>
    <row r="165" spans="2:7" s="1061" customFormat="1" x14ac:dyDescent="0.2">
      <c r="B165" s="1328" t="s">
        <v>1584</v>
      </c>
      <c r="C165" s="1351">
        <v>11</v>
      </c>
      <c r="D165" s="1351">
        <v>4</v>
      </c>
      <c r="E165" s="1327" t="str">
        <f t="shared" si="1"/>
        <v>11.4 Other PA costs</v>
      </c>
      <c r="F165" s="1327"/>
      <c r="G165" s="1327" t="s">
        <v>1585</v>
      </c>
    </row>
    <row r="166" spans="2:7" s="1061" customFormat="1" x14ac:dyDescent="0.2">
      <c r="B166" s="1328" t="s">
        <v>1586</v>
      </c>
      <c r="C166" s="1351">
        <v>12</v>
      </c>
      <c r="D166" s="1351">
        <v>0</v>
      </c>
      <c r="E166" s="1327" t="str">
        <f t="shared" si="1"/>
        <v>12.0 Living support to client/ target population (LSCTP)</v>
      </c>
      <c r="F166" s="1327"/>
      <c r="G166" s="1327" t="s">
        <v>1587</v>
      </c>
    </row>
    <row r="167" spans="2:7" s="1061" customFormat="1" x14ac:dyDescent="0.2">
      <c r="B167" s="1328" t="s">
        <v>1588</v>
      </c>
      <c r="C167" s="1351">
        <v>12</v>
      </c>
      <c r="D167" s="1351">
        <v>1</v>
      </c>
      <c r="E167" s="1327" t="str">
        <f t="shared" si="1"/>
        <v>12.1 OVC Support (school fees, uniforms, books...)</v>
      </c>
      <c r="F167" s="1327"/>
      <c r="G167" s="1327" t="s">
        <v>1589</v>
      </c>
    </row>
    <row r="168" spans="2:7" s="1061" customFormat="1" x14ac:dyDescent="0.2">
      <c r="B168" s="1328" t="s">
        <v>1590</v>
      </c>
      <c r="C168" s="1351">
        <v>12</v>
      </c>
      <c r="D168" s="1351">
        <v>2</v>
      </c>
      <c r="E168" s="1327" t="str">
        <f t="shared" si="1"/>
        <v>12.2 Food and care packages</v>
      </c>
      <c r="F168" s="1327"/>
      <c r="G168" s="1327" t="s">
        <v>1591</v>
      </c>
    </row>
    <row r="169" spans="2:7" s="1061" customFormat="1" x14ac:dyDescent="0.2">
      <c r="B169" s="1328" t="s">
        <v>1592</v>
      </c>
      <c r="C169" s="1351">
        <v>12</v>
      </c>
      <c r="D169" s="1351">
        <v>3</v>
      </c>
      <c r="E169" s="1327" t="str">
        <f t="shared" si="1"/>
        <v>12.3 Cash incentives/transfer to patients/beneficiaries/counsellors/mediators</v>
      </c>
      <c r="F169" s="1327"/>
      <c r="G169" s="1327" t="s">
        <v>1593</v>
      </c>
    </row>
    <row r="170" spans="2:7" s="1061" customFormat="1" x14ac:dyDescent="0.2">
      <c r="B170" s="1328" t="s">
        <v>1594</v>
      </c>
      <c r="C170" s="1351">
        <v>12</v>
      </c>
      <c r="D170" s="1351">
        <v>4</v>
      </c>
      <c r="E170" s="1327" t="str">
        <f t="shared" si="1"/>
        <v>12.4 Micro-loans and micro-grants</v>
      </c>
      <c r="F170" s="1327"/>
      <c r="G170" s="1327" t="s">
        <v>1595</v>
      </c>
    </row>
    <row r="171" spans="2:7" s="1061" customFormat="1" x14ac:dyDescent="0.2">
      <c r="B171" s="1328" t="s">
        <v>1596</v>
      </c>
      <c r="C171" s="1351">
        <v>12</v>
      </c>
      <c r="D171" s="1351">
        <v>5</v>
      </c>
      <c r="E171" s="1327" t="str">
        <f t="shared" si="1"/>
        <v>12.5 Other LSCTP costs</v>
      </c>
      <c r="F171" s="1327"/>
      <c r="G171" s="1327" t="s">
        <v>1597</v>
      </c>
    </row>
    <row r="172" spans="2:7" s="1061" customFormat="1" x14ac:dyDescent="0.2">
      <c r="B172" s="1328" t="s">
        <v>1598</v>
      </c>
      <c r="C172" s="1351">
        <v>13</v>
      </c>
      <c r="D172" s="1351">
        <v>0</v>
      </c>
      <c r="E172" s="1327" t="str">
        <f t="shared" si="1"/>
        <v>13.0 Payment for Results</v>
      </c>
      <c r="F172" s="1327"/>
      <c r="G172" s="1327" t="s">
        <v>1599</v>
      </c>
    </row>
    <row r="173" spans="2:7" s="1061" customFormat="1" x14ac:dyDescent="0.2">
      <c r="B173" s="1328" t="s">
        <v>1598</v>
      </c>
      <c r="C173" s="1351">
        <v>13</v>
      </c>
      <c r="D173" s="1351">
        <v>1</v>
      </c>
      <c r="E173" s="1327" t="str">
        <f t="shared" si="1"/>
        <v>13.1 Payment for Results</v>
      </c>
      <c r="F173" s="1327"/>
      <c r="G173" s="1327" t="s">
        <v>1600</v>
      </c>
    </row>
  </sheetData>
  <dataValidations count="4">
    <dataValidation type="list" allowBlank="1" showInputMessage="1" showErrorMessage="1" sqref="J12:J25">
      <formula1>Module_List</formula1>
    </dataValidation>
    <dataValidation type="custom" allowBlank="1" showInputMessage="1" showErrorMessage="1" errorTitle="X-Author for Excel" error="Id and Lookup fields are not editable." promptTitle="X-Author for Excel" sqref="K12:K24 K30:K93 G97:G173">
      <formula1>""</formula1>
    </dataValidation>
    <dataValidation type="decimal" allowBlank="1" showInputMessage="1" showErrorMessage="1" errorTitle="X-Author for Excel" error="Please enter a valid numeric value. Valid range for Cost Grouping Number is -99999 to 99999." promptTitle="X-Author for Excel" sqref="C97:C173">
      <formula1>-99999</formula1>
      <formula2>99999</formula2>
    </dataValidation>
    <dataValidation type="decimal" allowBlank="1" showInputMessage="1" showErrorMessage="1" errorTitle="X-Author for Excel" error="Please enter a valid numeric value. Valid range for Cost Input Number is -99999 to 99999." promptTitle="X-Author for Excel" sqref="D97:D173">
      <formula1>-99999</formula1>
      <formula2>99999</formula2>
    </dataValidation>
  </dataValidations>
  <pageMargins left="0.7" right="0.7" top="0.75" bottom="0.75" header="0.3" footer="0.3"/>
  <pageSetup orientation="portrait" r:id="rId1"/>
  <tableParts count="2">
    <tablePart r:id="rId2"/>
    <tablePart r:id="rId3"/>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6">
    <tabColor theme="3" tint="0.79998168889431442"/>
  </sheetPr>
  <dimension ref="A1:U73"/>
  <sheetViews>
    <sheetView showGridLines="0" view="pageBreakPreview" zoomScale="70" zoomScaleNormal="60" zoomScaleSheetLayoutView="70" workbookViewId="0">
      <selection activeCell="B76" sqref="B76"/>
    </sheetView>
  </sheetViews>
  <sheetFormatPr defaultColWidth="9.140625" defaultRowHeight="12.75" x14ac:dyDescent="0.2"/>
  <cols>
    <col min="1" max="1" width="60.85546875" style="351" customWidth="1"/>
    <col min="2" max="2" width="52.140625" style="351" customWidth="1"/>
    <col min="3" max="6" width="19.85546875" style="351" customWidth="1"/>
    <col min="7" max="7" width="16.85546875" style="351" customWidth="1"/>
    <col min="8" max="8" width="50" style="351" customWidth="1"/>
    <col min="9" max="9" width="10.85546875" style="351" customWidth="1"/>
    <col min="10" max="12" width="19.85546875" style="351" customWidth="1"/>
    <col min="13" max="13" width="17.140625" style="351" customWidth="1"/>
    <col min="14" max="14" width="9.140625" style="357" hidden="1" customWidth="1"/>
    <col min="15" max="15" width="12.42578125" style="581" hidden="1" customWidth="1"/>
    <col min="16" max="16" width="9.5703125" style="357" hidden="1" customWidth="1"/>
    <col min="17" max="18" width="9.140625" style="357" hidden="1" customWidth="1"/>
    <col min="19" max="20" width="0" style="357" hidden="1" customWidth="1"/>
    <col min="21" max="16384" width="9.140625" style="357"/>
  </cols>
  <sheetData>
    <row r="1" spans="1:21" ht="46.5" customHeight="1" thickBot="1" x14ac:dyDescent="0.25">
      <c r="A1" s="1717" t="str">
        <f>IF(CoverSheet!J12="N/A","Progress Report","Progress Report with Disbursement Request")</f>
        <v>Progress Report with Disbursement Request</v>
      </c>
      <c r="B1" s="1717"/>
      <c r="C1" s="1717"/>
      <c r="D1" s="1717"/>
      <c r="E1" s="1717"/>
      <c r="F1" s="1717"/>
      <c r="G1" s="1717"/>
      <c r="H1" s="1717"/>
      <c r="I1" s="595"/>
    </row>
    <row r="2" spans="1:21" s="356" customFormat="1" ht="32.1" customHeight="1" thickBot="1" x14ac:dyDescent="0.25">
      <c r="A2" s="875" t="s">
        <v>270</v>
      </c>
      <c r="B2" s="864"/>
      <c r="C2" s="864"/>
      <c r="D2" s="864"/>
      <c r="E2" s="1722" t="str">
        <f>CoverSheet!F9</f>
        <v>Period of Financial Reporting</v>
      </c>
      <c r="F2" s="1723"/>
      <c r="G2" s="854" t="str">
        <f>CoverSheet!I9</f>
        <v>Beginning Date:</v>
      </c>
      <c r="H2" s="855">
        <f>IF(CoverSheet!J9="","N/A",CoverSheet!J9)</f>
        <v>42736</v>
      </c>
      <c r="I2" s="866" t="str">
        <f>CoverSheet!K9</f>
        <v>End Date:</v>
      </c>
      <c r="J2" s="867">
        <f>IF(CoverSheet!L9="","N/A",CoverSheet!L9)</f>
        <v>43100</v>
      </c>
      <c r="K2" s="872"/>
      <c r="L2" s="872"/>
      <c r="M2" s="873"/>
      <c r="O2" s="608"/>
      <c r="P2" s="609"/>
      <c r="Q2" s="609"/>
    </row>
    <row r="3" spans="1:21" ht="34.5" customHeight="1" thickBot="1" x14ac:dyDescent="0.25">
      <c r="A3" s="876" t="s">
        <v>542</v>
      </c>
      <c r="B3" s="865" t="s">
        <v>46</v>
      </c>
      <c r="C3" s="869"/>
      <c r="D3" s="869"/>
      <c r="E3" s="1724" t="s">
        <v>538</v>
      </c>
      <c r="F3" s="1725"/>
      <c r="G3" s="856" t="str">
        <f>CoverSheet!I9</f>
        <v>Beginning Date:</v>
      </c>
      <c r="H3" s="857">
        <f>IF(_00de7129_653b_4d69_830e_62f54dcfdb6c="","N/A",_00de7129_653b_4d69_830e_62f54dcfdb6c)</f>
        <v>42095</v>
      </c>
      <c r="I3" s="868" t="str">
        <f>CoverSheet!K9</f>
        <v>End Date:</v>
      </c>
      <c r="J3" s="870">
        <f>IF(CoverSheet!L9="","N/A",CoverSheet!L9)</f>
        <v>43100</v>
      </c>
      <c r="K3" s="869"/>
      <c r="L3" s="869"/>
      <c r="M3" s="874"/>
      <c r="N3" s="602"/>
      <c r="O3" s="603"/>
      <c r="P3" s="360"/>
      <c r="Q3" s="360"/>
    </row>
    <row r="4" spans="1:21" ht="29.1" customHeight="1" x14ac:dyDescent="0.2">
      <c r="A4" s="600" t="s">
        <v>604</v>
      </c>
      <c r="B4" s="109"/>
      <c r="C4" s="110"/>
      <c r="D4" s="110"/>
      <c r="E4" s="110"/>
      <c r="F4" s="111"/>
      <c r="G4" s="112"/>
      <c r="H4" s="112"/>
      <c r="I4" s="357"/>
      <c r="J4" s="112"/>
      <c r="K4" s="112"/>
      <c r="L4" s="112"/>
      <c r="M4" s="112"/>
      <c r="N4" s="360"/>
      <c r="O4" s="360"/>
      <c r="P4" s="360"/>
      <c r="Q4" s="360"/>
    </row>
    <row r="5" spans="1:21" ht="23.25" customHeight="1" thickBot="1" x14ac:dyDescent="0.25">
      <c r="A5" s="604"/>
      <c r="B5" s="606"/>
      <c r="C5" s="1105" t="s">
        <v>20</v>
      </c>
      <c r="D5" s="1105"/>
      <c r="E5" s="1105"/>
      <c r="F5" s="1105"/>
      <c r="G5" s="1105"/>
      <c r="H5" s="1105"/>
      <c r="I5" s="357"/>
      <c r="J5" s="1104" t="s">
        <v>136</v>
      </c>
      <c r="K5" s="1104"/>
      <c r="L5" s="1104"/>
      <c r="M5" s="1104"/>
      <c r="N5" s="360"/>
      <c r="O5" s="360"/>
      <c r="P5" s="360"/>
      <c r="Q5" s="360"/>
    </row>
    <row r="6" spans="1:21" ht="62.45" customHeight="1" x14ac:dyDescent="0.2">
      <c r="A6" s="1268" t="s">
        <v>603</v>
      </c>
      <c r="B6" s="536"/>
      <c r="C6" s="825" t="s">
        <v>40</v>
      </c>
      <c r="D6" s="825" t="s">
        <v>414</v>
      </c>
      <c r="E6" s="825" t="s">
        <v>395</v>
      </c>
      <c r="F6" s="825" t="s">
        <v>83</v>
      </c>
      <c r="G6" s="825" t="s">
        <v>614</v>
      </c>
      <c r="H6" s="825" t="s">
        <v>214</v>
      </c>
      <c r="I6" s="536"/>
      <c r="J6" s="825" t="s">
        <v>22</v>
      </c>
      <c r="K6" s="825" t="s">
        <v>137</v>
      </c>
      <c r="L6" s="825" t="s">
        <v>138</v>
      </c>
      <c r="M6" s="825" t="s">
        <v>614</v>
      </c>
      <c r="N6" s="1269"/>
      <c r="O6" s="1270" t="s">
        <v>356</v>
      </c>
      <c r="P6" s="1270" t="s">
        <v>556</v>
      </c>
      <c r="Q6" s="1123"/>
      <c r="R6" s="1124"/>
      <c r="S6" s="1124"/>
      <c r="T6" s="1124"/>
    </row>
    <row r="7" spans="1:21" ht="17.45" hidden="1" customHeight="1" x14ac:dyDescent="0.2">
      <c r="A7" s="1271" t="s">
        <v>544</v>
      </c>
      <c r="B7" s="536"/>
      <c r="C7" s="1272" t="s">
        <v>386</v>
      </c>
      <c r="D7" s="1272" t="str">
        <f>'PR Expenditure_7A'!D8</f>
        <v>[PR Actual Expenditure]</v>
      </c>
      <c r="E7" s="1273" t="s">
        <v>390</v>
      </c>
      <c r="F7" s="1272">
        <f>IFERROR((C7)-(D7+E7),0)</f>
        <v>0</v>
      </c>
      <c r="G7" s="1274" t="e">
        <f>IF(AND((C7)=0,(D7+E7)=0),"N/A",IF(AND((C7)=0,(D7+E7)&lt;&gt;0),"Not Budgeted",(D7+E7)/(C7)))</f>
        <v>#VALUE!</v>
      </c>
      <c r="H7" s="1063"/>
      <c r="I7" s="536"/>
      <c r="J7" s="1275" t="s">
        <v>387</v>
      </c>
      <c r="K7" s="1273" t="s">
        <v>391</v>
      </c>
      <c r="L7" s="1272">
        <f>IFERROR(J7-K7,0)</f>
        <v>0</v>
      </c>
      <c r="M7" s="1274" t="e">
        <f t="shared" ref="M7:M24" si="0">IF(AND(J7=0,K7=0),"N/A",IF(AND(J7=0,K7&lt;&gt;0),"Not Budgeted",K7/J7))</f>
        <v>#VALUE!</v>
      </c>
      <c r="N7" s="1276"/>
      <c r="O7" s="1270" t="s">
        <v>355</v>
      </c>
      <c r="P7" s="1277" t="s">
        <v>555</v>
      </c>
      <c r="Q7" s="1124"/>
      <c r="R7" s="1124"/>
      <c r="S7" s="1124"/>
      <c r="T7" s="1124"/>
      <c r="U7" s="1118"/>
    </row>
    <row r="8" spans="1:21" ht="17.45" customHeight="1" x14ac:dyDescent="0.2">
      <c r="A8" s="1271" t="s">
        <v>1064</v>
      </c>
      <c r="B8" s="536"/>
      <c r="C8" s="1272">
        <v>964755.12</v>
      </c>
      <c r="D8" s="1272">
        <f>'PR Expenditure_7A'!D9</f>
        <v>1197187.4300000002</v>
      </c>
      <c r="E8" s="1273"/>
      <c r="F8" s="1272">
        <f t="shared" ref="F8:F20" si="1">IFERROR((C8)-(D8+E8),0)</f>
        <v>-232432.31000000017</v>
      </c>
      <c r="G8" s="1274">
        <f t="shared" ref="G8:G20" si="2">IF(AND((C8)=0,(D8+E8)=0),"N/A",IF(AND((C8)=0,(D8+E8)&lt;&gt;0),"Not Budgeted",(D8+E8)/(C8)))</f>
        <v>1.2409236345902992</v>
      </c>
      <c r="H8" s="1063"/>
      <c r="I8" s="536"/>
      <c r="J8" s="1275">
        <v>2718752.09</v>
      </c>
      <c r="K8" s="1273"/>
      <c r="L8" s="1272">
        <f t="shared" ref="L8:L20" si="3">IFERROR(J8-K8,0)</f>
        <v>2718752.09</v>
      </c>
      <c r="M8" s="1274">
        <f t="shared" si="0"/>
        <v>0</v>
      </c>
      <c r="N8" s="1276"/>
      <c r="O8" s="1270" t="s">
        <v>1065</v>
      </c>
      <c r="P8" s="1277">
        <v>1</v>
      </c>
      <c r="Q8" s="1124"/>
      <c r="R8" s="1124"/>
      <c r="S8" s="1124"/>
      <c r="T8" s="1124"/>
      <c r="U8" s="1118"/>
    </row>
    <row r="9" spans="1:21" ht="17.45" customHeight="1" x14ac:dyDescent="0.2">
      <c r="A9" s="1271" t="s">
        <v>1066</v>
      </c>
      <c r="B9" s="536"/>
      <c r="C9" s="1272">
        <v>74300</v>
      </c>
      <c r="D9" s="1272">
        <f>'PR Expenditure_7A'!D10</f>
        <v>80747.55049104552</v>
      </c>
      <c r="E9" s="1273"/>
      <c r="F9" s="1272">
        <f t="shared" si="1"/>
        <v>-6447.5504910455202</v>
      </c>
      <c r="G9" s="1274">
        <f t="shared" si="2"/>
        <v>1.0867772609831161</v>
      </c>
      <c r="H9" s="1063"/>
      <c r="I9" s="536"/>
      <c r="J9" s="1275">
        <v>316200.09999999998</v>
      </c>
      <c r="K9" s="1273"/>
      <c r="L9" s="1272">
        <f t="shared" si="3"/>
        <v>316200.09999999998</v>
      </c>
      <c r="M9" s="1274">
        <f t="shared" si="0"/>
        <v>0</v>
      </c>
      <c r="N9" s="1276"/>
      <c r="O9" s="1270" t="s">
        <v>1067</v>
      </c>
      <c r="P9" s="1277">
        <v>2</v>
      </c>
      <c r="Q9" s="1124"/>
      <c r="R9" s="1124"/>
      <c r="S9" s="1124"/>
      <c r="T9" s="1124"/>
      <c r="U9" s="1118"/>
    </row>
    <row r="10" spans="1:21" ht="17.45" customHeight="1" x14ac:dyDescent="0.2">
      <c r="A10" s="1271" t="s">
        <v>1068</v>
      </c>
      <c r="B10" s="536"/>
      <c r="C10" s="1272">
        <v>55920</v>
      </c>
      <c r="D10" s="1272">
        <f>'PR Expenditure_7A'!D11</f>
        <v>136622.368275833</v>
      </c>
      <c r="E10" s="1273"/>
      <c r="F10" s="1272">
        <f t="shared" si="1"/>
        <v>-80702.368275832996</v>
      </c>
      <c r="G10" s="1274">
        <f t="shared" si="2"/>
        <v>2.4431753983518059</v>
      </c>
      <c r="H10" s="1063"/>
      <c r="I10" s="536"/>
      <c r="J10" s="1275">
        <v>256360</v>
      </c>
      <c r="K10" s="1273"/>
      <c r="L10" s="1272">
        <f t="shared" si="3"/>
        <v>256360</v>
      </c>
      <c r="M10" s="1274">
        <f t="shared" si="0"/>
        <v>0</v>
      </c>
      <c r="N10" s="1276"/>
      <c r="O10" s="1270" t="s">
        <v>1069</v>
      </c>
      <c r="P10" s="1277">
        <v>3</v>
      </c>
      <c r="Q10" s="1124"/>
      <c r="R10" s="1124"/>
      <c r="S10" s="1124"/>
      <c r="T10" s="1124"/>
      <c r="U10" s="1118"/>
    </row>
    <row r="11" spans="1:21" ht="17.45" customHeight="1" x14ac:dyDescent="0.2">
      <c r="A11" s="1271" t="s">
        <v>1070</v>
      </c>
      <c r="B11" s="536"/>
      <c r="C11" s="1272">
        <v>32000</v>
      </c>
      <c r="D11" s="1272">
        <f>'PR Expenditure_7A'!D12</f>
        <v>47331.420175620005</v>
      </c>
      <c r="E11" s="1273"/>
      <c r="F11" s="1272">
        <f t="shared" si="1"/>
        <v>-15331.420175620005</v>
      </c>
      <c r="G11" s="1274">
        <f t="shared" si="2"/>
        <v>1.4791068804881251</v>
      </c>
      <c r="H11" s="1063"/>
      <c r="I11" s="536"/>
      <c r="J11" s="1275">
        <v>2039000</v>
      </c>
      <c r="K11" s="1273"/>
      <c r="L11" s="1272">
        <f t="shared" si="3"/>
        <v>2039000</v>
      </c>
      <c r="M11" s="1274">
        <f t="shared" si="0"/>
        <v>0</v>
      </c>
      <c r="N11" s="1276"/>
      <c r="O11" s="1270" t="s">
        <v>1071</v>
      </c>
      <c r="P11" s="1277">
        <v>4</v>
      </c>
      <c r="Q11" s="1124"/>
      <c r="R11" s="1124"/>
      <c r="S11" s="1124"/>
      <c r="T11" s="1124"/>
      <c r="U11" s="1118"/>
    </row>
    <row r="12" spans="1:21" ht="17.45" customHeight="1" x14ac:dyDescent="0.2">
      <c r="A12" s="1271" t="s">
        <v>1072</v>
      </c>
      <c r="B12" s="536"/>
      <c r="C12" s="1272">
        <v>192120</v>
      </c>
      <c r="D12" s="1272">
        <f>'PR Expenditure_7A'!D13</f>
        <v>267648.60339049506</v>
      </c>
      <c r="E12" s="1273"/>
      <c r="F12" s="1272">
        <f t="shared" si="1"/>
        <v>-75528.60339049506</v>
      </c>
      <c r="G12" s="1274">
        <f t="shared" si="2"/>
        <v>1.393132434887024</v>
      </c>
      <c r="H12" s="1063"/>
      <c r="I12" s="536"/>
      <c r="J12" s="1275">
        <v>799560</v>
      </c>
      <c r="K12" s="1273"/>
      <c r="L12" s="1272">
        <f t="shared" si="3"/>
        <v>799560</v>
      </c>
      <c r="M12" s="1274">
        <f t="shared" si="0"/>
        <v>0</v>
      </c>
      <c r="N12" s="1276"/>
      <c r="O12" s="1270" t="s">
        <v>1073</v>
      </c>
      <c r="P12" s="1277">
        <v>5</v>
      </c>
      <c r="Q12" s="1124"/>
      <c r="R12" s="1124"/>
      <c r="S12" s="1124"/>
      <c r="T12" s="1124"/>
      <c r="U12" s="1118"/>
    </row>
    <row r="13" spans="1:21" ht="17.45" customHeight="1" x14ac:dyDescent="0.2">
      <c r="A13" s="1271" t="s">
        <v>1074</v>
      </c>
      <c r="B13" s="536"/>
      <c r="C13" s="1272">
        <v>0</v>
      </c>
      <c r="D13" s="1272">
        <f>'PR Expenditure_7A'!D14</f>
        <v>138703</v>
      </c>
      <c r="E13" s="1273"/>
      <c r="F13" s="1272">
        <f t="shared" si="1"/>
        <v>-138703</v>
      </c>
      <c r="G13" s="1274" t="str">
        <f t="shared" si="2"/>
        <v>Not Budgeted</v>
      </c>
      <c r="H13" s="1063"/>
      <c r="I13" s="536"/>
      <c r="J13" s="1275">
        <v>360000</v>
      </c>
      <c r="K13" s="1273"/>
      <c r="L13" s="1272">
        <f t="shared" si="3"/>
        <v>360000</v>
      </c>
      <c r="M13" s="1274">
        <f t="shared" si="0"/>
        <v>0</v>
      </c>
      <c r="N13" s="1276"/>
      <c r="O13" s="1270" t="s">
        <v>1075</v>
      </c>
      <c r="P13" s="1277">
        <v>6</v>
      </c>
      <c r="Q13" s="1124"/>
      <c r="R13" s="1124"/>
      <c r="S13" s="1124"/>
      <c r="T13" s="1124"/>
      <c r="U13" s="1118"/>
    </row>
    <row r="14" spans="1:21" ht="17.45" customHeight="1" x14ac:dyDescent="0.2">
      <c r="A14" s="1271" t="s">
        <v>1076</v>
      </c>
      <c r="B14" s="536"/>
      <c r="C14" s="1272">
        <v>60000</v>
      </c>
      <c r="D14" s="1272">
        <f>'PR Expenditure_7A'!D15</f>
        <v>47195.315230168308</v>
      </c>
      <c r="E14" s="1273"/>
      <c r="F14" s="1272">
        <f t="shared" si="1"/>
        <v>12804.684769831692</v>
      </c>
      <c r="G14" s="1274">
        <f t="shared" si="2"/>
        <v>0.78658858716947178</v>
      </c>
      <c r="H14" s="1063"/>
      <c r="I14" s="536"/>
      <c r="J14" s="1275">
        <v>142500</v>
      </c>
      <c r="K14" s="1273"/>
      <c r="L14" s="1272">
        <f t="shared" si="3"/>
        <v>142500</v>
      </c>
      <c r="M14" s="1274">
        <f t="shared" si="0"/>
        <v>0</v>
      </c>
      <c r="N14" s="1276"/>
      <c r="O14" s="1270" t="s">
        <v>1077</v>
      </c>
      <c r="P14" s="1277">
        <v>7</v>
      </c>
      <c r="Q14" s="1124"/>
      <c r="R14" s="1124"/>
      <c r="S14" s="1124"/>
      <c r="T14" s="1124"/>
      <c r="U14" s="1118"/>
    </row>
    <row r="15" spans="1:21" ht="17.45" customHeight="1" x14ac:dyDescent="0.2">
      <c r="A15" s="1271" t="s">
        <v>1078</v>
      </c>
      <c r="B15" s="536"/>
      <c r="C15" s="1272">
        <v>0</v>
      </c>
      <c r="D15" s="1272">
        <f>'PR Expenditure_7A'!D16</f>
        <v>226838.33</v>
      </c>
      <c r="E15" s="1273"/>
      <c r="F15" s="1272">
        <f t="shared" si="1"/>
        <v>-226838.33</v>
      </c>
      <c r="G15" s="1274" t="str">
        <f t="shared" si="2"/>
        <v>Not Budgeted</v>
      </c>
      <c r="H15" s="1063"/>
      <c r="I15" s="536"/>
      <c r="J15" s="1275">
        <v>677200</v>
      </c>
      <c r="K15" s="1273"/>
      <c r="L15" s="1272">
        <f t="shared" si="3"/>
        <v>677200</v>
      </c>
      <c r="M15" s="1274">
        <f t="shared" si="0"/>
        <v>0</v>
      </c>
      <c r="N15" s="1276"/>
      <c r="O15" s="1270" t="s">
        <v>1079</v>
      </c>
      <c r="P15" s="1277">
        <v>8</v>
      </c>
      <c r="Q15" s="1124"/>
      <c r="R15" s="1124"/>
      <c r="S15" s="1124"/>
      <c r="T15" s="1124"/>
      <c r="U15" s="1118"/>
    </row>
    <row r="16" spans="1:21" ht="17.45" customHeight="1" x14ac:dyDescent="0.2">
      <c r="A16" s="1271" t="s">
        <v>1080</v>
      </c>
      <c r="B16" s="536"/>
      <c r="C16" s="1272">
        <v>11400</v>
      </c>
      <c r="D16" s="1272">
        <f>'PR Expenditure_7A'!D17</f>
        <v>9449.9161202873765</v>
      </c>
      <c r="E16" s="1273"/>
      <c r="F16" s="1272">
        <f t="shared" si="1"/>
        <v>1950.0838797126235</v>
      </c>
      <c r="G16" s="1274">
        <f t="shared" si="2"/>
        <v>0.82894001055152422</v>
      </c>
      <c r="H16" s="1063"/>
      <c r="I16" s="536"/>
      <c r="J16" s="1275">
        <v>54950</v>
      </c>
      <c r="K16" s="1273"/>
      <c r="L16" s="1272">
        <f t="shared" si="3"/>
        <v>54950</v>
      </c>
      <c r="M16" s="1274">
        <f t="shared" si="0"/>
        <v>0</v>
      </c>
      <c r="N16" s="1276"/>
      <c r="O16" s="1270" t="s">
        <v>1081</v>
      </c>
      <c r="P16" s="1277">
        <v>9</v>
      </c>
      <c r="Q16" s="1124"/>
      <c r="R16" s="1124"/>
      <c r="S16" s="1124"/>
      <c r="T16" s="1124"/>
      <c r="U16" s="1118"/>
    </row>
    <row r="17" spans="1:21" ht="17.45" customHeight="1" x14ac:dyDescent="0.2">
      <c r="A17" s="1271" t="s">
        <v>1082</v>
      </c>
      <c r="B17" s="536"/>
      <c r="C17" s="1272">
        <v>6100</v>
      </c>
      <c r="D17" s="1272">
        <f>'PR Expenditure_7A'!D18</f>
        <v>630.74</v>
      </c>
      <c r="E17" s="1273"/>
      <c r="F17" s="1272">
        <f t="shared" si="1"/>
        <v>5469.26</v>
      </c>
      <c r="G17" s="1274">
        <f t="shared" si="2"/>
        <v>0.10340000000000001</v>
      </c>
      <c r="H17" s="1063"/>
      <c r="I17" s="536"/>
      <c r="J17" s="1275">
        <v>22350</v>
      </c>
      <c r="K17" s="1273"/>
      <c r="L17" s="1272">
        <f t="shared" si="3"/>
        <v>22350</v>
      </c>
      <c r="M17" s="1274">
        <f t="shared" si="0"/>
        <v>0</v>
      </c>
      <c r="N17" s="1276"/>
      <c r="O17" s="1270" t="s">
        <v>1083</v>
      </c>
      <c r="P17" s="1277">
        <v>10</v>
      </c>
      <c r="Q17" s="1124"/>
      <c r="R17" s="1124"/>
      <c r="S17" s="1124"/>
      <c r="T17" s="1124"/>
      <c r="U17" s="1118"/>
    </row>
    <row r="18" spans="1:21" ht="17.45" customHeight="1" x14ac:dyDescent="0.2">
      <c r="A18" s="1271" t="s">
        <v>1084</v>
      </c>
      <c r="B18" s="536"/>
      <c r="C18" s="1272">
        <v>120500</v>
      </c>
      <c r="D18" s="1272">
        <f>'PR Expenditure_7A'!D19</f>
        <v>88847.869556839709</v>
      </c>
      <c r="E18" s="1273"/>
      <c r="F18" s="1272">
        <f t="shared" si="1"/>
        <v>31652.130443160291</v>
      </c>
      <c r="G18" s="1274">
        <f t="shared" si="2"/>
        <v>0.73732671831402252</v>
      </c>
      <c r="H18" s="1063"/>
      <c r="I18" s="536"/>
      <c r="J18" s="1275">
        <v>334850</v>
      </c>
      <c r="K18" s="1273"/>
      <c r="L18" s="1272">
        <f t="shared" si="3"/>
        <v>334850</v>
      </c>
      <c r="M18" s="1274">
        <f t="shared" si="0"/>
        <v>0</v>
      </c>
      <c r="N18" s="1276"/>
      <c r="O18" s="1270" t="s">
        <v>1085</v>
      </c>
      <c r="P18" s="1277">
        <v>11</v>
      </c>
      <c r="Q18" s="1124"/>
      <c r="R18" s="1124"/>
      <c r="S18" s="1124"/>
      <c r="T18" s="1124"/>
      <c r="U18" s="1118"/>
    </row>
    <row r="19" spans="1:21" ht="17.45" customHeight="1" x14ac:dyDescent="0.2">
      <c r="A19" s="1271" t="s">
        <v>1086</v>
      </c>
      <c r="B19" s="536"/>
      <c r="C19" s="1272">
        <v>138500</v>
      </c>
      <c r="D19" s="1272">
        <f>'PR Expenditure_7A'!D20</f>
        <v>380674.83999999997</v>
      </c>
      <c r="E19" s="1273"/>
      <c r="F19" s="1272">
        <f t="shared" si="1"/>
        <v>-242174.83999999997</v>
      </c>
      <c r="G19" s="1274">
        <f t="shared" si="2"/>
        <v>2.7485548014440431</v>
      </c>
      <c r="H19" s="1063"/>
      <c r="I19" s="536"/>
      <c r="J19" s="1275">
        <v>600000</v>
      </c>
      <c r="K19" s="1273"/>
      <c r="L19" s="1272">
        <f t="shared" si="3"/>
        <v>600000</v>
      </c>
      <c r="M19" s="1274">
        <f t="shared" si="0"/>
        <v>0</v>
      </c>
      <c r="N19" s="1276"/>
      <c r="O19" s="1270" t="s">
        <v>1087</v>
      </c>
      <c r="P19" s="1277">
        <v>12</v>
      </c>
      <c r="Q19" s="1124"/>
      <c r="R19" s="1124"/>
      <c r="S19" s="1124"/>
      <c r="T19" s="1124"/>
      <c r="U19" s="1118"/>
    </row>
    <row r="20" spans="1:21" ht="17.45" customHeight="1" x14ac:dyDescent="0.2">
      <c r="A20" s="1271" t="s">
        <v>1088</v>
      </c>
      <c r="B20" s="536"/>
      <c r="C20" s="1272">
        <v>0</v>
      </c>
      <c r="D20" s="1272">
        <f>'PR Expenditure_7A'!D21</f>
        <v>0</v>
      </c>
      <c r="E20" s="1273"/>
      <c r="F20" s="1272">
        <f t="shared" si="1"/>
        <v>0</v>
      </c>
      <c r="G20" s="1274" t="str">
        <f t="shared" si="2"/>
        <v>N/A</v>
      </c>
      <c r="H20" s="1063"/>
      <c r="I20" s="536"/>
      <c r="J20" s="1275">
        <v>0</v>
      </c>
      <c r="K20" s="1273"/>
      <c r="L20" s="1272">
        <f t="shared" si="3"/>
        <v>0</v>
      </c>
      <c r="M20" s="1274" t="str">
        <f t="shared" si="0"/>
        <v>N/A</v>
      </c>
      <c r="N20" s="1276"/>
      <c r="O20" s="1270" t="s">
        <v>1089</v>
      </c>
      <c r="P20" s="1277">
        <v>13</v>
      </c>
      <c r="Q20" s="1124"/>
      <c r="R20" s="1124"/>
      <c r="S20" s="1124"/>
      <c r="T20" s="1124"/>
      <c r="U20" s="1118"/>
    </row>
    <row r="21" spans="1:21" s="359" customFormat="1" hidden="1" x14ac:dyDescent="0.2">
      <c r="N21" s="1119"/>
      <c r="O21" s="1091" t="s">
        <v>356</v>
      </c>
      <c r="P21" s="1091" t="s">
        <v>556</v>
      </c>
      <c r="Q21" s="1092" t="s">
        <v>601</v>
      </c>
      <c r="R21" s="1092"/>
      <c r="S21" s="1092"/>
      <c r="T21" s="1125"/>
      <c r="U21" s="1120"/>
    </row>
    <row r="22" spans="1:21" ht="15" hidden="1" x14ac:dyDescent="0.2">
      <c r="A22" s="907" t="s">
        <v>612</v>
      </c>
      <c r="B22" s="536"/>
      <c r="C22" s="583" t="s">
        <v>386</v>
      </c>
      <c r="D22" s="583" t="str">
        <f>'PR Expenditure_7A'!D23</f>
        <v>[PR Actual Expenditure]</v>
      </c>
      <c r="E22" s="584" t="s">
        <v>390</v>
      </c>
      <c r="F22" s="583">
        <f>IFERROR((C22)-(D22+E22),0)</f>
        <v>0</v>
      </c>
      <c r="G22" s="585" t="e">
        <f>IF(AND((C22)=0,(D22+E22)=0),"N/A",IF(AND((C22)=0,(D22+E22)&lt;&gt;0),"Not Budgeted",(D22+E22)/(C22)))</f>
        <v>#VALUE!</v>
      </c>
      <c r="H22" s="940"/>
      <c r="I22" s="536"/>
      <c r="J22" s="906" t="s">
        <v>387</v>
      </c>
      <c r="K22" s="584" t="s">
        <v>391</v>
      </c>
      <c r="L22" s="583">
        <f>IFERROR(J22-K22,0)</f>
        <v>0</v>
      </c>
      <c r="M22" s="585" t="e">
        <f t="shared" si="0"/>
        <v>#VALUE!</v>
      </c>
      <c r="N22" s="1117"/>
      <c r="O22" s="1093" t="s">
        <v>355</v>
      </c>
      <c r="P22" s="1093" t="s">
        <v>555</v>
      </c>
      <c r="Q22" s="1094" t="s">
        <v>600</v>
      </c>
      <c r="R22" s="1094"/>
      <c r="S22" s="1094"/>
      <c r="T22" s="1124"/>
      <c r="U22" s="1118"/>
    </row>
    <row r="23" spans="1:21" ht="10.5" hidden="1" customHeight="1" x14ac:dyDescent="0.2">
      <c r="E23" s="351" t="s">
        <v>597</v>
      </c>
      <c r="K23" s="351" t="s">
        <v>598</v>
      </c>
      <c r="N23" s="1117"/>
      <c r="O23" s="1093" t="s">
        <v>356</v>
      </c>
      <c r="P23" s="1093"/>
      <c r="Q23" s="1094"/>
      <c r="R23" s="1094"/>
      <c r="S23" s="1094" t="s">
        <v>599</v>
      </c>
      <c r="T23" s="1124"/>
      <c r="U23" s="1118"/>
    </row>
    <row r="24" spans="1:21" ht="20.100000000000001" hidden="1" customHeight="1" x14ac:dyDescent="0.2">
      <c r="A24" s="1100"/>
      <c r="B24" s="536"/>
      <c r="C24" s="583" t="s">
        <v>386</v>
      </c>
      <c r="D24" s="583" t="str">
        <f>'PR Expenditure_7A'!D25</f>
        <v>[PR Actual Expenditure]</v>
      </c>
      <c r="E24" s="584" t="s">
        <v>390</v>
      </c>
      <c r="F24" s="583">
        <f>IFERROR((C24)-(D24+E24),0)</f>
        <v>0</v>
      </c>
      <c r="G24" s="585" t="e">
        <f>IF(AND((C24)=0,(D24+E24)=0),"N/A",IF(AND((C24)=0,(D24+E24)&lt;&gt;0),"Not Budgeted",(D24+E24)/(C24)))</f>
        <v>#VALUE!</v>
      </c>
      <c r="H24" s="940"/>
      <c r="I24" s="536"/>
      <c r="J24" s="906" t="s">
        <v>387</v>
      </c>
      <c r="K24" s="584" t="s">
        <v>391</v>
      </c>
      <c r="L24" s="583">
        <f>IFERROR(J24-K24,0)</f>
        <v>0</v>
      </c>
      <c r="M24" s="585" t="e">
        <f t="shared" si="0"/>
        <v>#VALUE!</v>
      </c>
      <c r="N24" s="1121"/>
      <c r="O24" s="1093" t="s">
        <v>355</v>
      </c>
      <c r="P24" s="1093"/>
      <c r="Q24" s="1094"/>
      <c r="R24" s="1094"/>
      <c r="S24" s="1094" t="str">
        <f>IF(A24&lt;&gt;"",VLOOKUP(A24,'Reference Records'!$E$97:$G$174,3,FALSE),"")</f>
        <v/>
      </c>
      <c r="T24" s="1124"/>
      <c r="U24" s="1118"/>
    </row>
    <row r="25" spans="1:21" ht="19.350000000000001" hidden="1" customHeight="1" thickBot="1" x14ac:dyDescent="0.25">
      <c r="A25" s="1089"/>
      <c r="B25" s="603"/>
      <c r="C25" s="603"/>
      <c r="D25" s="603"/>
      <c r="E25" s="603"/>
      <c r="F25" s="603"/>
      <c r="G25" s="603"/>
      <c r="H25" s="603"/>
      <c r="I25" s="985"/>
      <c r="J25" s="603"/>
      <c r="K25" s="603"/>
      <c r="L25" s="603"/>
      <c r="M25" s="603"/>
      <c r="N25" s="1122"/>
      <c r="O25" s="1095"/>
      <c r="P25" s="1093"/>
      <c r="Q25" s="1094"/>
      <c r="R25" s="1094"/>
      <c r="S25" s="1094"/>
      <c r="T25" s="1124"/>
      <c r="U25" s="1118"/>
    </row>
    <row r="26" spans="1:21" ht="21.6" customHeight="1" thickBot="1" x14ac:dyDescent="0.25">
      <c r="A26" s="986" t="s">
        <v>86</v>
      </c>
      <c r="B26" s="990"/>
      <c r="C26" s="988">
        <f>ROUND(SUM(C7:C25),2)</f>
        <v>1655595.12</v>
      </c>
      <c r="D26" s="988">
        <f>ROUND(SUM(D7:D25),2)</f>
        <v>2621877.38</v>
      </c>
      <c r="E26" s="988">
        <f>ROUND(SUM(E7:E25),2)</f>
        <v>0</v>
      </c>
      <c r="F26" s="988">
        <f>ROUND(SUM(F7:F25),2)</f>
        <v>-966282.26</v>
      </c>
      <c r="G26" s="1090">
        <f>(D26+E26)/(C26)</f>
        <v>1.5836464775276697</v>
      </c>
      <c r="H26" s="989"/>
      <c r="I26" s="990"/>
      <c r="J26" s="988">
        <f>ROUND(SUM(J7:J25),2)</f>
        <v>8321722.1900000004</v>
      </c>
      <c r="K26" s="988">
        <f>ROUND(SUM(K7:K25),2)</f>
        <v>0</v>
      </c>
      <c r="L26" s="988">
        <f>ROUND(SUM(L7:L25),2)</f>
        <v>8321722.1900000004</v>
      </c>
      <c r="M26" s="989">
        <f>K26/J26</f>
        <v>0</v>
      </c>
      <c r="N26" s="1118"/>
      <c r="O26" s="1094"/>
      <c r="P26" s="1094"/>
      <c r="Q26" s="1094"/>
      <c r="R26" s="1094"/>
      <c r="S26" s="1094"/>
      <c r="T26" s="1124"/>
      <c r="U26" s="1118"/>
    </row>
    <row r="27" spans="1:21" x14ac:dyDescent="0.2">
      <c r="N27" s="1118"/>
      <c r="O27" s="1094"/>
      <c r="P27" s="1094"/>
      <c r="Q27" s="1094"/>
      <c r="R27" s="1094"/>
      <c r="S27" s="1094"/>
      <c r="T27" s="1124"/>
      <c r="U27" s="1118"/>
    </row>
    <row r="28" spans="1:21" ht="15.75" thickBot="1" x14ac:dyDescent="0.25">
      <c r="A28" s="109" t="s">
        <v>267</v>
      </c>
      <c r="B28" s="109"/>
      <c r="C28" s="110"/>
      <c r="D28" s="110"/>
      <c r="E28" s="110"/>
      <c r="F28" s="111"/>
      <c r="G28" s="112"/>
      <c r="H28" s="112"/>
      <c r="I28" s="357"/>
      <c r="J28" s="112"/>
      <c r="K28" s="112"/>
      <c r="L28" s="112"/>
      <c r="M28" s="112"/>
      <c r="N28" s="1118"/>
      <c r="O28" s="1094"/>
      <c r="P28" s="1094"/>
      <c r="Q28" s="1094"/>
      <c r="R28" s="1094"/>
      <c r="S28" s="1094"/>
      <c r="T28" s="1124"/>
      <c r="U28" s="1118"/>
    </row>
    <row r="29" spans="1:21" ht="20.100000000000001" customHeight="1" thickBot="1" x14ac:dyDescent="0.25">
      <c r="A29" s="604"/>
      <c r="B29" s="606"/>
      <c r="C29" s="606"/>
      <c r="D29" s="606"/>
      <c r="E29" s="606"/>
      <c r="F29" s="606"/>
      <c r="G29" s="606"/>
      <c r="H29" s="606"/>
      <c r="I29" s="605"/>
      <c r="J29" s="606"/>
      <c r="K29" s="606"/>
      <c r="L29" s="606"/>
      <c r="M29" s="606"/>
      <c r="N29" s="1116"/>
      <c r="O29" s="1096"/>
      <c r="P29" s="1093"/>
      <c r="Q29" s="1094"/>
      <c r="R29" s="1094"/>
      <c r="S29" s="1094"/>
      <c r="T29" s="1124"/>
      <c r="U29" s="1118"/>
    </row>
    <row r="30" spans="1:21" s="359" customFormat="1" ht="60" x14ac:dyDescent="0.2">
      <c r="A30" s="1262" t="s">
        <v>206</v>
      </c>
      <c r="B30" s="1262" t="s">
        <v>88</v>
      </c>
      <c r="C30" s="825" t="s">
        <v>40</v>
      </c>
      <c r="D30" s="825" t="s">
        <v>414</v>
      </c>
      <c r="E30" s="825" t="s">
        <v>395</v>
      </c>
      <c r="F30" s="825" t="s">
        <v>83</v>
      </c>
      <c r="G30" s="825" t="s">
        <v>614</v>
      </c>
      <c r="H30" s="825" t="s">
        <v>214</v>
      </c>
      <c r="I30" s="536"/>
      <c r="J30" s="825" t="s">
        <v>22</v>
      </c>
      <c r="K30" s="825" t="s">
        <v>137</v>
      </c>
      <c r="L30" s="825" t="s">
        <v>138</v>
      </c>
      <c r="M30" s="825" t="s">
        <v>614</v>
      </c>
      <c r="N30" s="1278"/>
      <c r="O30" s="1279" t="s">
        <v>356</v>
      </c>
      <c r="P30" s="1091"/>
      <c r="Q30" s="1092"/>
      <c r="R30" s="1092"/>
      <c r="S30" s="1092"/>
      <c r="T30" s="1125"/>
      <c r="U30" s="1120"/>
    </row>
    <row r="31" spans="1:21" ht="15" hidden="1" x14ac:dyDescent="0.2">
      <c r="A31" s="1280" t="s">
        <v>400</v>
      </c>
      <c r="B31" s="1280" t="s">
        <v>337</v>
      </c>
      <c r="C31" s="1272" t="s">
        <v>386</v>
      </c>
      <c r="D31" s="1272" t="str">
        <f>'PR Expenditure_7A'!D32</f>
        <v>[PR Actual Expenditure]</v>
      </c>
      <c r="E31" s="1273" t="s">
        <v>390</v>
      </c>
      <c r="F31" s="1272">
        <f>IFERROR((C31)-(D31+E31),0)</f>
        <v>0</v>
      </c>
      <c r="G31" s="1274" t="e">
        <f>IF(AND((C31)=0,(D31+E31)=0),"N/A",IF(AND((C31)=0,(D31+E31)&lt;&gt;0),"Not Budgeted",(D31+E31)/(C31)))</f>
        <v>#VALUE!</v>
      </c>
      <c r="H31" s="1063"/>
      <c r="I31" s="536"/>
      <c r="J31" s="1275" t="s">
        <v>387</v>
      </c>
      <c r="K31" s="1273" t="s">
        <v>391</v>
      </c>
      <c r="L31" s="1272">
        <f>IFERROR(J31-K31,0)</f>
        <v>0</v>
      </c>
      <c r="M31" s="1274" t="e">
        <f t="shared" ref="M31:M53" si="4">IF(AND(J31=0,K31=0),"N/A",IF(AND(J31=0,K31&lt;&gt;0),"Not Budgeted",K31/J31))</f>
        <v>#VALUE!</v>
      </c>
      <c r="N31" s="1269"/>
      <c r="O31" s="1281" t="s">
        <v>355</v>
      </c>
      <c r="P31" s="1093"/>
      <c r="Q31" s="1094"/>
      <c r="R31" s="1094"/>
      <c r="S31" s="1094"/>
      <c r="T31" s="1124"/>
    </row>
    <row r="32" spans="1:21" ht="15" x14ac:dyDescent="0.2">
      <c r="A32" s="1280" t="s">
        <v>1018</v>
      </c>
      <c r="B32" s="1280" t="s">
        <v>1090</v>
      </c>
      <c r="C32" s="1272">
        <v>1146842.32</v>
      </c>
      <c r="D32" s="1272">
        <f>'PR Expenditure_7A'!D33</f>
        <v>1523698.3598440785</v>
      </c>
      <c r="E32" s="1273"/>
      <c r="F32" s="1272">
        <f t="shared" ref="F32:F36" si="5">IFERROR((C32)-(D32+E32),0)</f>
        <v>-376856.03984407848</v>
      </c>
      <c r="G32" s="1274">
        <f t="shared" ref="G32:G36" si="6">IF(AND((C32)=0,(D32+E32)=0),"N/A",IF(AND((C32)=0,(D32+E32)&lt;&gt;0),"Not Budgeted",(D32+E32)/(C32)))</f>
        <v>1.3286031856969478</v>
      </c>
      <c r="H32" s="1063"/>
      <c r="I32" s="536"/>
      <c r="J32" s="1275">
        <v>4212598.32</v>
      </c>
      <c r="K32" s="1273"/>
      <c r="L32" s="1272">
        <f t="shared" ref="L32:L36" si="7">IFERROR(J32-K32,0)</f>
        <v>4212598.32</v>
      </c>
      <c r="M32" s="1274">
        <f t="shared" si="4"/>
        <v>0</v>
      </c>
      <c r="N32" s="1269"/>
      <c r="O32" s="1281" t="s">
        <v>1091</v>
      </c>
      <c r="P32" s="1093"/>
      <c r="Q32" s="1094"/>
      <c r="R32" s="1094"/>
      <c r="S32" s="1094"/>
      <c r="T32" s="1124"/>
    </row>
    <row r="33" spans="1:20" ht="15" x14ac:dyDescent="0.2">
      <c r="A33" s="1280" t="s">
        <v>1018</v>
      </c>
      <c r="B33" s="1280" t="s">
        <v>1092</v>
      </c>
      <c r="C33" s="1272">
        <v>106830</v>
      </c>
      <c r="D33" s="1272">
        <f>'PR Expenditure_7A'!D34</f>
        <v>329997.16007467377</v>
      </c>
      <c r="E33" s="1273"/>
      <c r="F33" s="1272">
        <f t="shared" si="5"/>
        <v>-223167.16007467377</v>
      </c>
      <c r="G33" s="1274">
        <f t="shared" si="6"/>
        <v>3.0889933546257957</v>
      </c>
      <c r="H33" s="1063"/>
      <c r="I33" s="536"/>
      <c r="J33" s="1275">
        <v>947490</v>
      </c>
      <c r="K33" s="1273"/>
      <c r="L33" s="1272">
        <f t="shared" si="7"/>
        <v>947490</v>
      </c>
      <c r="M33" s="1274">
        <f t="shared" si="4"/>
        <v>0</v>
      </c>
      <c r="N33" s="1269"/>
      <c r="O33" s="1281" t="s">
        <v>1093</v>
      </c>
      <c r="P33" s="1093"/>
      <c r="Q33" s="1094"/>
      <c r="R33" s="1094"/>
      <c r="S33" s="1094"/>
      <c r="T33" s="1124"/>
    </row>
    <row r="34" spans="1:20" ht="15" x14ac:dyDescent="0.2">
      <c r="A34" s="1280" t="s">
        <v>1012</v>
      </c>
      <c r="B34" s="1280" t="s">
        <v>1094</v>
      </c>
      <c r="C34" s="1272">
        <v>114923.96</v>
      </c>
      <c r="D34" s="1272">
        <f>'PR Expenditure_7A'!D35</f>
        <v>319949.41770138242</v>
      </c>
      <c r="E34" s="1273"/>
      <c r="F34" s="1272">
        <f t="shared" si="5"/>
        <v>-205025.4577013824</v>
      </c>
      <c r="G34" s="1274">
        <f t="shared" si="6"/>
        <v>2.7840096851986513</v>
      </c>
      <c r="H34" s="1063"/>
      <c r="I34" s="536"/>
      <c r="J34" s="1275">
        <v>2275731.96</v>
      </c>
      <c r="K34" s="1273"/>
      <c r="L34" s="1272">
        <f t="shared" si="7"/>
        <v>2275731.96</v>
      </c>
      <c r="M34" s="1274">
        <f t="shared" si="4"/>
        <v>0</v>
      </c>
      <c r="N34" s="1269"/>
      <c r="O34" s="1281" t="s">
        <v>1095</v>
      </c>
      <c r="P34" s="1093"/>
      <c r="Q34" s="1094"/>
      <c r="R34" s="1094"/>
      <c r="S34" s="1094"/>
      <c r="T34" s="1124"/>
    </row>
    <row r="35" spans="1:20" ht="25.5" x14ac:dyDescent="0.2">
      <c r="A35" s="1280" t="s">
        <v>1006</v>
      </c>
      <c r="B35" s="1280" t="s">
        <v>1096</v>
      </c>
      <c r="C35" s="1272">
        <v>9720</v>
      </c>
      <c r="D35" s="1272">
        <f>'PR Expenditure_7A'!D36</f>
        <v>136352.11780385673</v>
      </c>
      <c r="E35" s="1273"/>
      <c r="F35" s="1272">
        <f t="shared" si="5"/>
        <v>-126632.11780385673</v>
      </c>
      <c r="G35" s="1274">
        <f t="shared" si="6"/>
        <v>14.027995658832998</v>
      </c>
      <c r="H35" s="1063"/>
      <c r="I35" s="536"/>
      <c r="J35" s="1275">
        <v>110910.1</v>
      </c>
      <c r="K35" s="1273"/>
      <c r="L35" s="1272">
        <f t="shared" si="7"/>
        <v>110910.1</v>
      </c>
      <c r="M35" s="1274">
        <f t="shared" si="4"/>
        <v>0</v>
      </c>
      <c r="N35" s="1269"/>
      <c r="O35" s="1281" t="s">
        <v>1097</v>
      </c>
      <c r="P35" s="1093"/>
      <c r="Q35" s="1094"/>
      <c r="R35" s="1094"/>
      <c r="S35" s="1094"/>
      <c r="T35" s="1124"/>
    </row>
    <row r="36" spans="1:20" ht="15" x14ac:dyDescent="0.2">
      <c r="A36" s="1280" t="s">
        <v>1098</v>
      </c>
      <c r="B36" s="1280" t="s">
        <v>1099</v>
      </c>
      <c r="C36" s="1272">
        <v>277278.84000000003</v>
      </c>
      <c r="D36" s="1272">
        <f>'PR Expenditure_7A'!D37</f>
        <v>311880.32781629747</v>
      </c>
      <c r="E36" s="1273"/>
      <c r="F36" s="1272">
        <f t="shared" si="5"/>
        <v>-34601.487816297449</v>
      </c>
      <c r="G36" s="1274">
        <f t="shared" si="6"/>
        <v>1.1247895000437014</v>
      </c>
      <c r="H36" s="1063"/>
      <c r="I36" s="536"/>
      <c r="J36" s="1275">
        <v>774991.81</v>
      </c>
      <c r="K36" s="1273"/>
      <c r="L36" s="1272">
        <f t="shared" si="7"/>
        <v>774991.81</v>
      </c>
      <c r="M36" s="1274">
        <f t="shared" si="4"/>
        <v>0</v>
      </c>
      <c r="N36" s="1269"/>
      <c r="O36" s="1281" t="s">
        <v>1100</v>
      </c>
      <c r="P36" s="1093"/>
      <c r="Q36" s="1094"/>
      <c r="R36" s="1094"/>
      <c r="S36" s="1094"/>
      <c r="T36" s="1124"/>
    </row>
    <row r="37" spans="1:20" ht="15" hidden="1" customHeight="1" x14ac:dyDescent="0.2">
      <c r="A37" s="1338"/>
      <c r="B37" s="1338"/>
      <c r="C37" s="1339"/>
      <c r="D37" s="1339"/>
      <c r="E37" s="1340"/>
      <c r="F37" s="1339"/>
      <c r="G37" s="1341"/>
      <c r="H37" s="1342"/>
      <c r="I37" s="995"/>
      <c r="J37" s="1340"/>
      <c r="K37" s="1340"/>
      <c r="L37" s="1339"/>
      <c r="M37" s="1341"/>
      <c r="N37" s="1269"/>
      <c r="O37" s="1281"/>
      <c r="P37" s="1281"/>
      <c r="Q37" s="1281" t="s">
        <v>356</v>
      </c>
      <c r="R37" s="1094"/>
      <c r="S37" s="1094"/>
      <c r="T37" s="1124"/>
    </row>
    <row r="38" spans="1:20" ht="12.75" hidden="1" customHeight="1" x14ac:dyDescent="0.2">
      <c r="A38" s="1343" t="s">
        <v>400</v>
      </c>
      <c r="B38" s="1343" t="s">
        <v>337</v>
      </c>
      <c r="C38" s="1272" t="s">
        <v>386</v>
      </c>
      <c r="D38" s="1272" t="str">
        <f>'PR Expenditure_7A'!D39</f>
        <v>[PR Actual Expenditure]</v>
      </c>
      <c r="E38" s="1273" t="s">
        <v>390</v>
      </c>
      <c r="F38" s="1272">
        <f>IFERROR((C38)-(D38+E38),0)</f>
        <v>0</v>
      </c>
      <c r="G38" s="1274" t="e">
        <f>IF(AND((C38)=0,(D38+E38)=0),"N/A",IF(AND((C38)=0,(D38+E38)&lt;&gt;0),"Not Budgeted",(D38+E38)/(C38)))</f>
        <v>#VALUE!</v>
      </c>
      <c r="H38" s="1063"/>
      <c r="I38" s="536"/>
      <c r="J38" s="1275" t="s">
        <v>387</v>
      </c>
      <c r="K38" s="1273" t="s">
        <v>391</v>
      </c>
      <c r="L38" s="1272">
        <f>IFERROR(J38-K38,0)</f>
        <v>0</v>
      </c>
      <c r="M38" s="1274" t="e">
        <f t="shared" si="4"/>
        <v>#VALUE!</v>
      </c>
      <c r="N38" s="1269"/>
      <c r="O38" s="1281" t="str">
        <f>IFERROR(IF(VLOOKUP(A38,'Reference Records'!$B$12:$D$25,3,FALSE)=0,"",VLOOKUP(A38,'Reference Records'!$B$12:$D$25,3,FALSE)),"")</f>
        <v/>
      </c>
      <c r="P38" s="1281"/>
      <c r="Q38" s="1281" t="s">
        <v>355</v>
      </c>
      <c r="R38" s="1094"/>
      <c r="S38" s="1094"/>
      <c r="T38" s="1124"/>
    </row>
    <row r="39" spans="1:20" ht="12.75" hidden="1" customHeight="1" x14ac:dyDescent="0.2">
      <c r="A39" s="1343"/>
      <c r="B39" s="1343"/>
      <c r="C39" s="1272">
        <v>0</v>
      </c>
      <c r="D39" s="1272">
        <f>'PR Expenditure_7A'!D40</f>
        <v>0</v>
      </c>
      <c r="E39" s="1273"/>
      <c r="F39" s="1272">
        <f t="shared" ref="F39:F53" si="8">IFERROR((C39)-(D39+E39),0)</f>
        <v>0</v>
      </c>
      <c r="G39" s="1274" t="str">
        <f t="shared" ref="G39:G53" si="9">IF(AND((C39)=0,(D39+E39)=0),"N/A",IF(AND((C39)=0,(D39+E39)&lt;&gt;0),"Not Budgeted",(D39+E39)/(C39)))</f>
        <v>N/A</v>
      </c>
      <c r="H39" s="1063"/>
      <c r="I39" s="536"/>
      <c r="J39" s="1275">
        <v>0</v>
      </c>
      <c r="K39" s="1273"/>
      <c r="L39" s="1272">
        <f t="shared" ref="L39:L53" si="10">IFERROR(J39-K39,0)</f>
        <v>0</v>
      </c>
      <c r="M39" s="1274" t="str">
        <f t="shared" si="4"/>
        <v>N/A</v>
      </c>
      <c r="N39" s="1269"/>
      <c r="O39" s="1281" t="str">
        <f>IFERROR(IF(VLOOKUP(A39,'Reference Records'!$B$12:$D$25,3,FALSE)=0,"",VLOOKUP(A39,'Reference Records'!$B$12:$D$25,3,FALSE)),"")</f>
        <v/>
      </c>
      <c r="P39" s="1281"/>
      <c r="Q39" s="1281" t="s">
        <v>1410</v>
      </c>
      <c r="R39" s="1094"/>
      <c r="S39" s="1094"/>
      <c r="T39" s="1124"/>
    </row>
    <row r="40" spans="1:20" ht="12.75" hidden="1" customHeight="1" x14ac:dyDescent="0.2">
      <c r="A40" s="1343"/>
      <c r="B40" s="1343"/>
      <c r="C40" s="1272">
        <v>0</v>
      </c>
      <c r="D40" s="1272">
        <f>'PR Expenditure_7A'!D41</f>
        <v>0</v>
      </c>
      <c r="E40" s="1273"/>
      <c r="F40" s="1272">
        <f t="shared" si="8"/>
        <v>0</v>
      </c>
      <c r="G40" s="1274" t="str">
        <f t="shared" si="9"/>
        <v>N/A</v>
      </c>
      <c r="H40" s="1063"/>
      <c r="I40" s="536"/>
      <c r="J40" s="1275">
        <v>0</v>
      </c>
      <c r="K40" s="1273"/>
      <c r="L40" s="1272">
        <f t="shared" si="10"/>
        <v>0</v>
      </c>
      <c r="M40" s="1274" t="str">
        <f t="shared" si="4"/>
        <v>N/A</v>
      </c>
      <c r="N40" s="1269"/>
      <c r="O40" s="1281" t="str">
        <f>IFERROR(IF(VLOOKUP(A40,'Reference Records'!$B$12:$D$25,3,FALSE)=0,"",VLOOKUP(A40,'Reference Records'!$B$12:$D$25,3,FALSE)),"")</f>
        <v/>
      </c>
      <c r="P40" s="1281"/>
      <c r="Q40" s="1281" t="s">
        <v>1411</v>
      </c>
      <c r="R40" s="1094"/>
      <c r="S40" s="1094"/>
      <c r="T40" s="1124"/>
    </row>
    <row r="41" spans="1:20" ht="12.75" hidden="1" customHeight="1" x14ac:dyDescent="0.2">
      <c r="A41" s="1343"/>
      <c r="B41" s="1343"/>
      <c r="C41" s="1272">
        <v>0</v>
      </c>
      <c r="D41" s="1272">
        <f>'PR Expenditure_7A'!D42</f>
        <v>0</v>
      </c>
      <c r="E41" s="1273"/>
      <c r="F41" s="1272">
        <f t="shared" si="8"/>
        <v>0</v>
      </c>
      <c r="G41" s="1274" t="str">
        <f t="shared" si="9"/>
        <v>N/A</v>
      </c>
      <c r="H41" s="1063"/>
      <c r="I41" s="536"/>
      <c r="J41" s="1275">
        <v>0</v>
      </c>
      <c r="K41" s="1273"/>
      <c r="L41" s="1272">
        <f t="shared" si="10"/>
        <v>0</v>
      </c>
      <c r="M41" s="1274" t="str">
        <f t="shared" si="4"/>
        <v>N/A</v>
      </c>
      <c r="N41" s="1269"/>
      <c r="O41" s="1281" t="str">
        <f>IFERROR(IF(VLOOKUP(A41,'Reference Records'!$B$12:$D$25,3,FALSE)=0,"",VLOOKUP(A41,'Reference Records'!$B$12:$D$25,3,FALSE)),"")</f>
        <v/>
      </c>
      <c r="P41" s="1281"/>
      <c r="Q41" s="1281" t="s">
        <v>1412</v>
      </c>
      <c r="R41" s="1094"/>
      <c r="S41" s="1094"/>
      <c r="T41" s="1124"/>
    </row>
    <row r="42" spans="1:20" ht="12.75" hidden="1" customHeight="1" x14ac:dyDescent="0.2">
      <c r="A42" s="1343"/>
      <c r="B42" s="1343"/>
      <c r="C42" s="1272">
        <v>0</v>
      </c>
      <c r="D42" s="1272">
        <f>'PR Expenditure_7A'!D43</f>
        <v>0</v>
      </c>
      <c r="E42" s="1273"/>
      <c r="F42" s="1272">
        <f t="shared" si="8"/>
        <v>0</v>
      </c>
      <c r="G42" s="1274" t="str">
        <f t="shared" si="9"/>
        <v>N/A</v>
      </c>
      <c r="H42" s="1063"/>
      <c r="I42" s="536"/>
      <c r="J42" s="1275">
        <v>0</v>
      </c>
      <c r="K42" s="1273"/>
      <c r="L42" s="1272">
        <f t="shared" si="10"/>
        <v>0</v>
      </c>
      <c r="M42" s="1274" t="str">
        <f t="shared" si="4"/>
        <v>N/A</v>
      </c>
      <c r="N42" s="1269"/>
      <c r="O42" s="1281" t="str">
        <f>IFERROR(IF(VLOOKUP(A42,'Reference Records'!$B$12:$D$25,3,FALSE)=0,"",VLOOKUP(A42,'Reference Records'!$B$12:$D$25,3,FALSE)),"")</f>
        <v/>
      </c>
      <c r="P42" s="1281"/>
      <c r="Q42" s="1281" t="s">
        <v>1413</v>
      </c>
      <c r="R42" s="1094"/>
      <c r="S42" s="1094"/>
      <c r="T42" s="1124"/>
    </row>
    <row r="43" spans="1:20" ht="12.75" hidden="1" customHeight="1" x14ac:dyDescent="0.2">
      <c r="A43" s="1343"/>
      <c r="B43" s="1343"/>
      <c r="C43" s="1272">
        <v>0</v>
      </c>
      <c r="D43" s="1272">
        <f>'PR Expenditure_7A'!D44</f>
        <v>0</v>
      </c>
      <c r="E43" s="1273"/>
      <c r="F43" s="1272">
        <f t="shared" si="8"/>
        <v>0</v>
      </c>
      <c r="G43" s="1274" t="str">
        <f t="shared" si="9"/>
        <v>N/A</v>
      </c>
      <c r="H43" s="1063"/>
      <c r="I43" s="536"/>
      <c r="J43" s="1275">
        <v>0</v>
      </c>
      <c r="K43" s="1273"/>
      <c r="L43" s="1272">
        <f t="shared" si="10"/>
        <v>0</v>
      </c>
      <c r="M43" s="1274" t="str">
        <f t="shared" si="4"/>
        <v>N/A</v>
      </c>
      <c r="N43" s="1269"/>
      <c r="O43" s="1281" t="str">
        <f>IFERROR(IF(VLOOKUP(A43,'Reference Records'!$B$12:$D$25,3,FALSE)=0,"",VLOOKUP(A43,'Reference Records'!$B$12:$D$25,3,FALSE)),"")</f>
        <v/>
      </c>
      <c r="P43" s="1281"/>
      <c r="Q43" s="1281" t="s">
        <v>1414</v>
      </c>
      <c r="R43" s="1094"/>
      <c r="S43" s="1094"/>
      <c r="T43" s="1124"/>
    </row>
    <row r="44" spans="1:20" ht="12.75" hidden="1" customHeight="1" x14ac:dyDescent="0.2">
      <c r="A44" s="1343"/>
      <c r="B44" s="1343"/>
      <c r="C44" s="1272">
        <v>0</v>
      </c>
      <c r="D44" s="1272">
        <f>'PR Expenditure_7A'!D45</f>
        <v>0</v>
      </c>
      <c r="E44" s="1273"/>
      <c r="F44" s="1272">
        <f t="shared" si="8"/>
        <v>0</v>
      </c>
      <c r="G44" s="1274" t="str">
        <f t="shared" si="9"/>
        <v>N/A</v>
      </c>
      <c r="H44" s="1063"/>
      <c r="I44" s="536"/>
      <c r="J44" s="1275">
        <v>0</v>
      </c>
      <c r="K44" s="1273"/>
      <c r="L44" s="1272">
        <f t="shared" si="10"/>
        <v>0</v>
      </c>
      <c r="M44" s="1274" t="str">
        <f t="shared" si="4"/>
        <v>N/A</v>
      </c>
      <c r="N44" s="1269"/>
      <c r="O44" s="1281" t="str">
        <f>IFERROR(IF(VLOOKUP(A44,'Reference Records'!$B$12:$D$25,3,FALSE)=0,"",VLOOKUP(A44,'Reference Records'!$B$12:$D$25,3,FALSE)),"")</f>
        <v/>
      </c>
      <c r="P44" s="1281"/>
      <c r="Q44" s="1281" t="s">
        <v>1415</v>
      </c>
      <c r="R44" s="1094"/>
      <c r="S44" s="1094"/>
      <c r="T44" s="1124"/>
    </row>
    <row r="45" spans="1:20" ht="12.75" hidden="1" customHeight="1" x14ac:dyDescent="0.2">
      <c r="A45" s="1343"/>
      <c r="B45" s="1343"/>
      <c r="C45" s="1272">
        <v>0</v>
      </c>
      <c r="D45" s="1272">
        <f>'PR Expenditure_7A'!D46</f>
        <v>0</v>
      </c>
      <c r="E45" s="1273"/>
      <c r="F45" s="1272">
        <f t="shared" si="8"/>
        <v>0</v>
      </c>
      <c r="G45" s="1274" t="str">
        <f t="shared" si="9"/>
        <v>N/A</v>
      </c>
      <c r="H45" s="1063"/>
      <c r="I45" s="536"/>
      <c r="J45" s="1275">
        <v>0</v>
      </c>
      <c r="K45" s="1273"/>
      <c r="L45" s="1272">
        <f t="shared" si="10"/>
        <v>0</v>
      </c>
      <c r="M45" s="1274" t="str">
        <f t="shared" si="4"/>
        <v>N/A</v>
      </c>
      <c r="N45" s="1269"/>
      <c r="O45" s="1281" t="str">
        <f>IFERROR(IF(VLOOKUP(A45,'Reference Records'!$B$12:$D$25,3,FALSE)=0,"",VLOOKUP(A45,'Reference Records'!$B$12:$D$25,3,FALSE)),"")</f>
        <v/>
      </c>
      <c r="P45" s="1281"/>
      <c r="Q45" s="1281" t="s">
        <v>1416</v>
      </c>
      <c r="R45" s="1094"/>
      <c r="S45" s="1094"/>
      <c r="T45" s="1124"/>
    </row>
    <row r="46" spans="1:20" ht="12.75" hidden="1" customHeight="1" x14ac:dyDescent="0.2">
      <c r="A46" s="1343"/>
      <c r="B46" s="1343"/>
      <c r="C46" s="1272">
        <v>0</v>
      </c>
      <c r="D46" s="1272">
        <f>'PR Expenditure_7A'!D47</f>
        <v>0</v>
      </c>
      <c r="E46" s="1273"/>
      <c r="F46" s="1272">
        <f t="shared" si="8"/>
        <v>0</v>
      </c>
      <c r="G46" s="1274" t="str">
        <f t="shared" si="9"/>
        <v>N/A</v>
      </c>
      <c r="H46" s="1063"/>
      <c r="I46" s="536"/>
      <c r="J46" s="1275">
        <v>0</v>
      </c>
      <c r="K46" s="1273"/>
      <c r="L46" s="1272">
        <f t="shared" si="10"/>
        <v>0</v>
      </c>
      <c r="M46" s="1274" t="str">
        <f t="shared" si="4"/>
        <v>N/A</v>
      </c>
      <c r="N46" s="1269"/>
      <c r="O46" s="1281" t="str">
        <f>IFERROR(IF(VLOOKUP(A46,'Reference Records'!$B$12:$D$25,3,FALSE)=0,"",VLOOKUP(A46,'Reference Records'!$B$12:$D$25,3,FALSE)),"")</f>
        <v/>
      </c>
      <c r="P46" s="1281"/>
      <c r="Q46" s="1281" t="s">
        <v>1417</v>
      </c>
      <c r="R46" s="1094"/>
      <c r="S46" s="1094"/>
      <c r="T46" s="1124"/>
    </row>
    <row r="47" spans="1:20" ht="12.75" hidden="1" customHeight="1" x14ac:dyDescent="0.2">
      <c r="A47" s="1343"/>
      <c r="B47" s="1343"/>
      <c r="C47" s="1272">
        <v>0</v>
      </c>
      <c r="D47" s="1272">
        <f>'PR Expenditure_7A'!D48</f>
        <v>0</v>
      </c>
      <c r="E47" s="1273"/>
      <c r="F47" s="1272">
        <f t="shared" si="8"/>
        <v>0</v>
      </c>
      <c r="G47" s="1274" t="str">
        <f t="shared" si="9"/>
        <v>N/A</v>
      </c>
      <c r="H47" s="1063"/>
      <c r="I47" s="536"/>
      <c r="J47" s="1275">
        <v>0</v>
      </c>
      <c r="K47" s="1273"/>
      <c r="L47" s="1272">
        <f t="shared" si="10"/>
        <v>0</v>
      </c>
      <c r="M47" s="1274" t="str">
        <f t="shared" si="4"/>
        <v>N/A</v>
      </c>
      <c r="N47" s="1269"/>
      <c r="O47" s="1281" t="str">
        <f>IFERROR(IF(VLOOKUP(A47,'Reference Records'!$B$12:$D$25,3,FALSE)=0,"",VLOOKUP(A47,'Reference Records'!$B$12:$D$25,3,FALSE)),"")</f>
        <v/>
      </c>
      <c r="P47" s="1281"/>
      <c r="Q47" s="1281" t="s">
        <v>1418</v>
      </c>
      <c r="R47" s="1094"/>
      <c r="S47" s="1094"/>
      <c r="T47" s="1124"/>
    </row>
    <row r="48" spans="1:20" ht="12.75" hidden="1" customHeight="1" x14ac:dyDescent="0.2">
      <c r="A48" s="1343"/>
      <c r="B48" s="1343"/>
      <c r="C48" s="1272">
        <v>0</v>
      </c>
      <c r="D48" s="1272">
        <f>'PR Expenditure_7A'!D49</f>
        <v>0</v>
      </c>
      <c r="E48" s="1273"/>
      <c r="F48" s="1272">
        <f t="shared" si="8"/>
        <v>0</v>
      </c>
      <c r="G48" s="1274" t="str">
        <f t="shared" si="9"/>
        <v>N/A</v>
      </c>
      <c r="H48" s="1063"/>
      <c r="I48" s="536"/>
      <c r="J48" s="1275">
        <v>0</v>
      </c>
      <c r="K48" s="1273"/>
      <c r="L48" s="1272">
        <f t="shared" si="10"/>
        <v>0</v>
      </c>
      <c r="M48" s="1274" t="str">
        <f t="shared" si="4"/>
        <v>N/A</v>
      </c>
      <c r="N48" s="1269"/>
      <c r="O48" s="1281" t="str">
        <f>IFERROR(IF(VLOOKUP(A48,'Reference Records'!$B$12:$D$25,3,FALSE)=0,"",VLOOKUP(A48,'Reference Records'!$B$12:$D$25,3,FALSE)),"")</f>
        <v/>
      </c>
      <c r="P48" s="1281"/>
      <c r="Q48" s="1281" t="s">
        <v>1419</v>
      </c>
      <c r="R48" s="1094"/>
      <c r="S48" s="1094"/>
      <c r="T48" s="1124"/>
    </row>
    <row r="49" spans="1:20" ht="12.75" hidden="1" customHeight="1" x14ac:dyDescent="0.2">
      <c r="A49" s="1343"/>
      <c r="B49" s="1343"/>
      <c r="C49" s="1272">
        <v>0</v>
      </c>
      <c r="D49" s="1272">
        <f>'PR Expenditure_7A'!D50</f>
        <v>0</v>
      </c>
      <c r="E49" s="1273"/>
      <c r="F49" s="1272">
        <f t="shared" si="8"/>
        <v>0</v>
      </c>
      <c r="G49" s="1274" t="str">
        <f t="shared" si="9"/>
        <v>N/A</v>
      </c>
      <c r="H49" s="1063"/>
      <c r="I49" s="536"/>
      <c r="J49" s="1275">
        <v>0</v>
      </c>
      <c r="K49" s="1273"/>
      <c r="L49" s="1272">
        <f t="shared" si="10"/>
        <v>0</v>
      </c>
      <c r="M49" s="1274" t="str">
        <f t="shared" si="4"/>
        <v>N/A</v>
      </c>
      <c r="N49" s="1269"/>
      <c r="O49" s="1281" t="str">
        <f>IFERROR(IF(VLOOKUP(A49,'Reference Records'!$B$12:$D$25,3,FALSE)=0,"",VLOOKUP(A49,'Reference Records'!$B$12:$D$25,3,FALSE)),"")</f>
        <v/>
      </c>
      <c r="P49" s="1281"/>
      <c r="Q49" s="1281" t="s">
        <v>1420</v>
      </c>
      <c r="R49" s="1094"/>
      <c r="S49" s="1094"/>
      <c r="T49" s="1124"/>
    </row>
    <row r="50" spans="1:20" ht="12.75" hidden="1" customHeight="1" x14ac:dyDescent="0.2">
      <c r="A50" s="1343"/>
      <c r="B50" s="1343"/>
      <c r="C50" s="1272">
        <v>0</v>
      </c>
      <c r="D50" s="1272">
        <f>'PR Expenditure_7A'!D51</f>
        <v>0</v>
      </c>
      <c r="E50" s="1273"/>
      <c r="F50" s="1272">
        <f t="shared" si="8"/>
        <v>0</v>
      </c>
      <c r="G50" s="1274" t="str">
        <f t="shared" si="9"/>
        <v>N/A</v>
      </c>
      <c r="H50" s="1063"/>
      <c r="I50" s="536"/>
      <c r="J50" s="1275">
        <v>0</v>
      </c>
      <c r="K50" s="1273"/>
      <c r="L50" s="1272">
        <f t="shared" si="10"/>
        <v>0</v>
      </c>
      <c r="M50" s="1274" t="str">
        <f t="shared" si="4"/>
        <v>N/A</v>
      </c>
      <c r="N50" s="1269"/>
      <c r="O50" s="1281" t="str">
        <f>IFERROR(IF(VLOOKUP(A50,'Reference Records'!$B$12:$D$25,3,FALSE)=0,"",VLOOKUP(A50,'Reference Records'!$B$12:$D$25,3,FALSE)),"")</f>
        <v/>
      </c>
      <c r="P50" s="1281"/>
      <c r="Q50" s="1281" t="s">
        <v>1421</v>
      </c>
      <c r="R50" s="1094"/>
      <c r="S50" s="1094"/>
      <c r="T50" s="1124"/>
    </row>
    <row r="51" spans="1:20" ht="12.75" hidden="1" customHeight="1" x14ac:dyDescent="0.2">
      <c r="A51" s="1343"/>
      <c r="B51" s="1343"/>
      <c r="C51" s="1272">
        <v>0</v>
      </c>
      <c r="D51" s="1272">
        <f>'PR Expenditure_7A'!D52</f>
        <v>0</v>
      </c>
      <c r="E51" s="1273"/>
      <c r="F51" s="1272">
        <f t="shared" si="8"/>
        <v>0</v>
      </c>
      <c r="G51" s="1274" t="str">
        <f t="shared" si="9"/>
        <v>N/A</v>
      </c>
      <c r="H51" s="1063"/>
      <c r="I51" s="536"/>
      <c r="J51" s="1275">
        <v>0</v>
      </c>
      <c r="K51" s="1273"/>
      <c r="L51" s="1272">
        <f t="shared" si="10"/>
        <v>0</v>
      </c>
      <c r="M51" s="1274" t="str">
        <f t="shared" si="4"/>
        <v>N/A</v>
      </c>
      <c r="N51" s="1269"/>
      <c r="O51" s="1281" t="str">
        <f>IFERROR(IF(VLOOKUP(A51,'Reference Records'!$B$12:$D$25,3,FALSE)=0,"",VLOOKUP(A51,'Reference Records'!$B$12:$D$25,3,FALSE)),"")</f>
        <v/>
      </c>
      <c r="P51" s="1281"/>
      <c r="Q51" s="1281" t="s">
        <v>1422</v>
      </c>
      <c r="R51" s="1094"/>
      <c r="S51" s="1094"/>
      <c r="T51" s="1124"/>
    </row>
    <row r="52" spans="1:20" ht="12.75" hidden="1" customHeight="1" x14ac:dyDescent="0.2">
      <c r="A52" s="1343"/>
      <c r="B52" s="1343"/>
      <c r="C52" s="1272">
        <v>0</v>
      </c>
      <c r="D52" s="1272">
        <f>'PR Expenditure_7A'!D53</f>
        <v>0</v>
      </c>
      <c r="E52" s="1273"/>
      <c r="F52" s="1272">
        <f t="shared" si="8"/>
        <v>0</v>
      </c>
      <c r="G52" s="1274" t="str">
        <f t="shared" si="9"/>
        <v>N/A</v>
      </c>
      <c r="H52" s="1063"/>
      <c r="I52" s="536"/>
      <c r="J52" s="1275">
        <v>0</v>
      </c>
      <c r="K52" s="1273"/>
      <c r="L52" s="1272">
        <f t="shared" si="10"/>
        <v>0</v>
      </c>
      <c r="M52" s="1274" t="str">
        <f t="shared" si="4"/>
        <v>N/A</v>
      </c>
      <c r="N52" s="1269"/>
      <c r="O52" s="1281" t="str">
        <f>IFERROR(IF(VLOOKUP(A52,'Reference Records'!$B$12:$D$25,3,FALSE)=0,"",VLOOKUP(A52,'Reference Records'!$B$12:$D$25,3,FALSE)),"")</f>
        <v/>
      </c>
      <c r="P52" s="1281"/>
      <c r="Q52" s="1281" t="s">
        <v>1423</v>
      </c>
      <c r="R52" s="1094"/>
      <c r="S52" s="1094"/>
      <c r="T52" s="1124"/>
    </row>
    <row r="53" spans="1:20" ht="12.75" hidden="1" customHeight="1" x14ac:dyDescent="0.2">
      <c r="A53" s="1343"/>
      <c r="B53" s="1343"/>
      <c r="C53" s="1272">
        <v>0</v>
      </c>
      <c r="D53" s="1272">
        <f>'PR Expenditure_7A'!D54</f>
        <v>0</v>
      </c>
      <c r="E53" s="1273"/>
      <c r="F53" s="1272">
        <f t="shared" si="8"/>
        <v>0</v>
      </c>
      <c r="G53" s="1274" t="str">
        <f t="shared" si="9"/>
        <v>N/A</v>
      </c>
      <c r="H53" s="1063"/>
      <c r="I53" s="536"/>
      <c r="J53" s="1275">
        <v>0</v>
      </c>
      <c r="K53" s="1273"/>
      <c r="L53" s="1272">
        <f t="shared" si="10"/>
        <v>0</v>
      </c>
      <c r="M53" s="1274" t="str">
        <f t="shared" si="4"/>
        <v>N/A</v>
      </c>
      <c r="N53" s="1269"/>
      <c r="O53" s="1281" t="str">
        <f>IFERROR(IF(VLOOKUP(A53,'Reference Records'!$B$12:$D$25,3,FALSE)=0,"",VLOOKUP(A53,'Reference Records'!$B$12:$D$25,3,FALSE)),"")</f>
        <v/>
      </c>
      <c r="P53" s="1281"/>
      <c r="Q53" s="1281" t="s">
        <v>1424</v>
      </c>
      <c r="R53" s="1094"/>
      <c r="S53" s="1094"/>
      <c r="T53" s="1124"/>
    </row>
    <row r="54" spans="1:20" ht="1.5" hidden="1" customHeight="1" thickBot="1" x14ac:dyDescent="0.25">
      <c r="A54" s="598"/>
      <c r="B54" s="599"/>
      <c r="C54" s="599"/>
      <c r="D54" s="599"/>
      <c r="E54" s="599"/>
      <c r="F54" s="599"/>
      <c r="G54" s="599"/>
      <c r="H54" s="599"/>
      <c r="I54" s="985"/>
      <c r="J54" s="599"/>
      <c r="K54" s="599"/>
      <c r="L54" s="599"/>
      <c r="M54" s="599"/>
      <c r="N54" s="605"/>
      <c r="O54" s="1095"/>
      <c r="P54" s="1093"/>
      <c r="Q54" s="1094"/>
      <c r="R54" s="1094"/>
      <c r="S54" s="1094"/>
      <c r="T54" s="1124"/>
    </row>
    <row r="55" spans="1:20" ht="23.25" customHeight="1" thickBot="1" x14ac:dyDescent="0.25">
      <c r="A55" s="986" t="s">
        <v>86</v>
      </c>
      <c r="B55" s="987"/>
      <c r="C55" s="988">
        <f>ROUND(SUM(C31:C54),2)</f>
        <v>1655595.12</v>
      </c>
      <c r="D55" s="988">
        <f>ROUND(SUM(D31:D54),2)</f>
        <v>2621877.38</v>
      </c>
      <c r="E55" s="988">
        <f>ROUND(SUM(E31:E54),2)</f>
        <v>0</v>
      </c>
      <c r="F55" s="988">
        <f>ROUND(SUM(F31:F54),2)</f>
        <v>-966282.26</v>
      </c>
      <c r="G55" s="989">
        <f>(D55+E55)/C55</f>
        <v>1.5836464775276697</v>
      </c>
      <c r="H55" s="989"/>
      <c r="I55" s="990"/>
      <c r="J55" s="988">
        <f>ROUND(SUM(J31:J54),2)</f>
        <v>8321722.1900000004</v>
      </c>
      <c r="K55" s="988">
        <f>ROUND(SUM(K31:K54),2)</f>
        <v>0</v>
      </c>
      <c r="L55" s="988">
        <f>ROUND(SUM(L31:L54),2)</f>
        <v>8321722.1900000004</v>
      </c>
      <c r="M55" s="989">
        <f>K55/J55</f>
        <v>0</v>
      </c>
      <c r="N55" s="360"/>
      <c r="O55" s="1093"/>
      <c r="P55" s="1093"/>
      <c r="Q55" s="1094"/>
      <c r="R55" s="1094"/>
      <c r="S55" s="1094"/>
      <c r="T55" s="1124"/>
    </row>
    <row r="56" spans="1:20" x14ac:dyDescent="0.2">
      <c r="O56" s="1094"/>
      <c r="P56" s="1094"/>
      <c r="Q56" s="1094"/>
      <c r="R56" s="1094"/>
      <c r="S56" s="1094"/>
      <c r="T56" s="1124"/>
    </row>
    <row r="57" spans="1:20" ht="15.75" thickBot="1" x14ac:dyDescent="0.25">
      <c r="A57" s="109" t="s">
        <v>268</v>
      </c>
      <c r="B57" s="109"/>
      <c r="C57" s="110"/>
      <c r="D57" s="110"/>
      <c r="E57" s="110"/>
      <c r="F57" s="111"/>
      <c r="G57" s="112"/>
      <c r="H57" s="112"/>
      <c r="I57" s="357"/>
      <c r="J57" s="112"/>
      <c r="K57" s="112"/>
      <c r="L57" s="112"/>
      <c r="M57" s="112"/>
      <c r="O57" s="1094"/>
      <c r="P57" s="1094"/>
      <c r="Q57" s="1094"/>
      <c r="R57" s="1094"/>
      <c r="S57" s="1094"/>
    </row>
    <row r="58" spans="1:20" ht="15" customHeight="1" x14ac:dyDescent="0.2">
      <c r="A58" s="596"/>
      <c r="B58" s="597"/>
      <c r="C58" s="597"/>
      <c r="D58" s="597"/>
      <c r="E58" s="597"/>
      <c r="F58" s="597"/>
      <c r="G58" s="597"/>
      <c r="H58" s="597"/>
      <c r="I58" s="627"/>
      <c r="J58" s="597"/>
      <c r="K58" s="597"/>
      <c r="L58" s="597"/>
      <c r="M58" s="597"/>
      <c r="N58" s="602"/>
      <c r="O58" s="1096"/>
      <c r="P58" s="1093"/>
      <c r="Q58" s="1094"/>
      <c r="R58" s="1094"/>
      <c r="S58" s="1094"/>
    </row>
    <row r="59" spans="1:20" s="359" customFormat="1" ht="60" x14ac:dyDescent="0.2">
      <c r="A59" s="1262" t="s">
        <v>402</v>
      </c>
      <c r="B59" s="1262" t="s">
        <v>401</v>
      </c>
      <c r="C59" s="825" t="s">
        <v>40</v>
      </c>
      <c r="D59" s="825" t="s">
        <v>414</v>
      </c>
      <c r="E59" s="825" t="s">
        <v>395</v>
      </c>
      <c r="F59" s="825" t="s">
        <v>83</v>
      </c>
      <c r="G59" s="825" t="s">
        <v>614</v>
      </c>
      <c r="H59" s="825" t="s">
        <v>214</v>
      </c>
      <c r="I59" s="536"/>
      <c r="J59" s="825" t="s">
        <v>22</v>
      </c>
      <c r="K59" s="825" t="s">
        <v>137</v>
      </c>
      <c r="L59" s="825" t="s">
        <v>138</v>
      </c>
      <c r="M59" s="825" t="s">
        <v>614</v>
      </c>
      <c r="N59" s="1282"/>
      <c r="O59" s="1279" t="s">
        <v>356</v>
      </c>
      <c r="P59" s="1091"/>
      <c r="Q59" s="1092"/>
      <c r="R59" s="1092"/>
      <c r="S59" s="1092"/>
    </row>
    <row r="60" spans="1:20" ht="21.75" hidden="1" customHeight="1" x14ac:dyDescent="0.2">
      <c r="A60" s="1280" t="s">
        <v>415</v>
      </c>
      <c r="B60" s="1283" t="s">
        <v>408</v>
      </c>
      <c r="C60" s="1272" t="s">
        <v>386</v>
      </c>
      <c r="D60" s="1272" t="str">
        <f>'PR Expenditure_7A'!D61</f>
        <v>[PR Actual Expenditure]</v>
      </c>
      <c r="E60" s="1284" t="s">
        <v>390</v>
      </c>
      <c r="F60" s="1272">
        <f>IFERROR((C60)-(D60+E60),0)</f>
        <v>0</v>
      </c>
      <c r="G60" s="1274" t="e">
        <f>IF(AND((C60)=0,(D60+E60)=0),"N/A",IF(AND((C60)=0,(D60+E60)&lt;&gt;0),"Not Budgeted",(D60+E60)/(C60)))</f>
        <v>#VALUE!</v>
      </c>
      <c r="H60" s="1063"/>
      <c r="I60" s="536"/>
      <c r="J60" s="1275" t="s">
        <v>387</v>
      </c>
      <c r="K60" s="1284" t="s">
        <v>391</v>
      </c>
      <c r="L60" s="1272">
        <f>IFERROR(J60-K60,0)</f>
        <v>0</v>
      </c>
      <c r="M60" s="1274" t="e">
        <f t="shared" ref="M60:M68" si="11">IF(AND(J60=0,K60=0),"N/A",IF(AND(J60=0,K60&lt;&gt;0),"Not Budgeted",K60/J60))</f>
        <v>#VALUE!</v>
      </c>
      <c r="N60" s="1269"/>
      <c r="O60" s="1281" t="s">
        <v>355</v>
      </c>
      <c r="P60" s="1093"/>
      <c r="Q60" s="1094"/>
      <c r="R60" s="1094"/>
      <c r="S60" s="1094"/>
    </row>
    <row r="61" spans="1:20" ht="21.75" customHeight="1" x14ac:dyDescent="0.2">
      <c r="A61" s="1280" t="s">
        <v>1101</v>
      </c>
      <c r="B61" s="1283" t="s">
        <v>1102</v>
      </c>
      <c r="C61" s="1272">
        <v>118410</v>
      </c>
      <c r="D61" s="1272">
        <f>'PR Expenditure_7A'!D62</f>
        <v>210240.42</v>
      </c>
      <c r="E61" s="1284"/>
      <c r="F61" s="1272">
        <f t="shared" ref="F61:F68" si="12">IFERROR((C61)-(D61+E61),0)</f>
        <v>-91830.420000000013</v>
      </c>
      <c r="G61" s="1274">
        <f t="shared" ref="G61:G68" si="13">IF(AND((C61)=0,(D61+E61)=0),"N/A",IF(AND((C61)=0,(D61+E61)&lt;&gt;0),"Not Budgeted",(D61+E61)/(C61)))</f>
        <v>1.7755292627311883</v>
      </c>
      <c r="H61" s="1063"/>
      <c r="I61" s="536"/>
      <c r="J61" s="1275">
        <v>764867</v>
      </c>
      <c r="K61" s="1284"/>
      <c r="L61" s="1272">
        <f t="shared" ref="L61:L68" si="14">IFERROR(J61-K61,0)</f>
        <v>764867</v>
      </c>
      <c r="M61" s="1274">
        <f t="shared" si="11"/>
        <v>0</v>
      </c>
      <c r="N61" s="1269"/>
      <c r="O61" s="1281" t="s">
        <v>1103</v>
      </c>
      <c r="P61" s="1093"/>
      <c r="Q61" s="1094"/>
      <c r="R61" s="1094"/>
      <c r="S61" s="1094"/>
    </row>
    <row r="62" spans="1:20" ht="21.75" customHeight="1" x14ac:dyDescent="0.2">
      <c r="A62" s="1280" t="s">
        <v>1104</v>
      </c>
      <c r="B62" s="1283" t="s">
        <v>1102</v>
      </c>
      <c r="C62" s="1272">
        <v>273220</v>
      </c>
      <c r="D62" s="1272">
        <f>'PR Expenditure_7A'!D63</f>
        <v>359296.63</v>
      </c>
      <c r="E62" s="1284"/>
      <c r="F62" s="1272">
        <f t="shared" si="12"/>
        <v>-86076.63</v>
      </c>
      <c r="G62" s="1274">
        <f t="shared" si="13"/>
        <v>1.3150451284679014</v>
      </c>
      <c r="H62" s="1063"/>
      <c r="I62" s="536"/>
      <c r="J62" s="1275">
        <v>746237</v>
      </c>
      <c r="K62" s="1284"/>
      <c r="L62" s="1272">
        <f t="shared" si="14"/>
        <v>746237</v>
      </c>
      <c r="M62" s="1274">
        <f t="shared" si="11"/>
        <v>0</v>
      </c>
      <c r="N62" s="1269"/>
      <c r="O62" s="1281" t="s">
        <v>1105</v>
      </c>
      <c r="P62" s="1093"/>
      <c r="Q62" s="1094"/>
      <c r="R62" s="1094"/>
      <c r="S62" s="1094"/>
    </row>
    <row r="63" spans="1:20" ht="21.75" customHeight="1" x14ac:dyDescent="0.2">
      <c r="A63" s="1280" t="s">
        <v>1106</v>
      </c>
      <c r="B63" s="1283" t="s">
        <v>1102</v>
      </c>
      <c r="C63" s="1272">
        <v>383761.32</v>
      </c>
      <c r="D63" s="1272">
        <f>'PR Expenditure_7A'!D64</f>
        <v>315763.31</v>
      </c>
      <c r="E63" s="1284"/>
      <c r="F63" s="1272">
        <f t="shared" si="12"/>
        <v>67998.010000000009</v>
      </c>
      <c r="G63" s="1274">
        <f t="shared" si="13"/>
        <v>0.82281171536516495</v>
      </c>
      <c r="H63" s="1063"/>
      <c r="I63" s="536"/>
      <c r="J63" s="1275">
        <v>984691.32</v>
      </c>
      <c r="K63" s="1284"/>
      <c r="L63" s="1272">
        <f t="shared" si="14"/>
        <v>984691.32</v>
      </c>
      <c r="M63" s="1274">
        <f t="shared" si="11"/>
        <v>0</v>
      </c>
      <c r="N63" s="1269"/>
      <c r="O63" s="1281" t="s">
        <v>1107</v>
      </c>
      <c r="P63" s="1093"/>
      <c r="Q63" s="1094"/>
      <c r="R63" s="1094"/>
      <c r="S63" s="1094"/>
    </row>
    <row r="64" spans="1:20" ht="21.75" customHeight="1" x14ac:dyDescent="0.2">
      <c r="A64" s="1280" t="s">
        <v>1108</v>
      </c>
      <c r="B64" s="1283" t="s">
        <v>1102</v>
      </c>
      <c r="C64" s="1272">
        <v>153804</v>
      </c>
      <c r="D64" s="1272">
        <f>'PR Expenditure_7A'!D65</f>
        <v>159049.91</v>
      </c>
      <c r="E64" s="1284"/>
      <c r="F64" s="1272">
        <f t="shared" si="12"/>
        <v>-5245.9100000000035</v>
      </c>
      <c r="G64" s="1274">
        <f t="shared" si="13"/>
        <v>1.0341077605263842</v>
      </c>
      <c r="H64" s="1063"/>
      <c r="I64" s="536"/>
      <c r="J64" s="1275">
        <v>431336</v>
      </c>
      <c r="K64" s="1284"/>
      <c r="L64" s="1272">
        <f t="shared" si="14"/>
        <v>431336</v>
      </c>
      <c r="M64" s="1274">
        <f t="shared" si="11"/>
        <v>0</v>
      </c>
      <c r="N64" s="1269"/>
      <c r="O64" s="1281" t="s">
        <v>1109</v>
      </c>
      <c r="P64" s="1093"/>
      <c r="Q64" s="1094"/>
      <c r="R64" s="1094"/>
      <c r="S64" s="1094"/>
    </row>
    <row r="65" spans="1:19" ht="21.75" customHeight="1" x14ac:dyDescent="0.2">
      <c r="A65" s="1280" t="s">
        <v>1110</v>
      </c>
      <c r="B65" s="1283" t="s">
        <v>1102</v>
      </c>
      <c r="C65" s="1272">
        <v>148841</v>
      </c>
      <c r="D65" s="1272">
        <f>'PR Expenditure_7A'!D66</f>
        <v>135447.6</v>
      </c>
      <c r="E65" s="1284"/>
      <c r="F65" s="1272">
        <f t="shared" si="12"/>
        <v>13393.399999999994</v>
      </c>
      <c r="G65" s="1274">
        <f t="shared" si="13"/>
        <v>0.91001538554564942</v>
      </c>
      <c r="H65" s="1063"/>
      <c r="I65" s="536"/>
      <c r="J65" s="1275">
        <v>388663</v>
      </c>
      <c r="K65" s="1284"/>
      <c r="L65" s="1272">
        <f t="shared" si="14"/>
        <v>388663</v>
      </c>
      <c r="M65" s="1274">
        <f t="shared" si="11"/>
        <v>0</v>
      </c>
      <c r="N65" s="1269"/>
      <c r="O65" s="1281" t="s">
        <v>1111</v>
      </c>
      <c r="P65" s="1093"/>
      <c r="Q65" s="1094"/>
      <c r="R65" s="1094"/>
      <c r="S65" s="1094"/>
    </row>
    <row r="66" spans="1:19" ht="21.75" customHeight="1" x14ac:dyDescent="0.2">
      <c r="A66" s="1280" t="s">
        <v>964</v>
      </c>
      <c r="B66" s="1283" t="s">
        <v>1112</v>
      </c>
      <c r="C66" s="1272">
        <v>355804.84</v>
      </c>
      <c r="D66" s="1272">
        <f>'PR Expenditure_7A'!D67</f>
        <v>783784.67999999993</v>
      </c>
      <c r="E66" s="1284"/>
      <c r="F66" s="1272">
        <f t="shared" si="12"/>
        <v>-427979.83999999991</v>
      </c>
      <c r="G66" s="1274">
        <f t="shared" si="13"/>
        <v>2.2028499668526149</v>
      </c>
      <c r="H66" s="1063"/>
      <c r="I66" s="536"/>
      <c r="J66" s="1275">
        <v>1782705.91</v>
      </c>
      <c r="K66" s="1284"/>
      <c r="L66" s="1272">
        <f t="shared" si="14"/>
        <v>1782705.91</v>
      </c>
      <c r="M66" s="1274">
        <f t="shared" si="11"/>
        <v>0</v>
      </c>
      <c r="N66" s="1269"/>
      <c r="O66" s="1281" t="s">
        <v>1113</v>
      </c>
      <c r="P66" s="1093"/>
      <c r="Q66" s="1094"/>
      <c r="R66" s="1094"/>
      <c r="S66" s="1094"/>
    </row>
    <row r="67" spans="1:19" ht="21.75" customHeight="1" x14ac:dyDescent="0.2">
      <c r="A67" s="1280" t="s">
        <v>1114</v>
      </c>
      <c r="B67" s="1283" t="s">
        <v>1102</v>
      </c>
      <c r="C67" s="1272">
        <v>106830</v>
      </c>
      <c r="D67" s="1272">
        <f>'PR Expenditure_7A'!D68</f>
        <v>300569.59999999998</v>
      </c>
      <c r="E67" s="1284"/>
      <c r="F67" s="1272">
        <f t="shared" si="12"/>
        <v>-193739.59999999998</v>
      </c>
      <c r="G67" s="1274">
        <f t="shared" si="13"/>
        <v>2.8135317794626977</v>
      </c>
      <c r="H67" s="1063"/>
      <c r="I67" s="536"/>
      <c r="J67" s="1275">
        <v>947490</v>
      </c>
      <c r="K67" s="1284"/>
      <c r="L67" s="1272">
        <f t="shared" si="14"/>
        <v>947490</v>
      </c>
      <c r="M67" s="1274">
        <f t="shared" si="11"/>
        <v>0</v>
      </c>
      <c r="N67" s="1269"/>
      <c r="O67" s="1281" t="s">
        <v>1115</v>
      </c>
      <c r="P67" s="1093"/>
      <c r="Q67" s="1094"/>
      <c r="R67" s="1094"/>
      <c r="S67" s="1094"/>
    </row>
    <row r="68" spans="1:19" ht="21.75" customHeight="1" x14ac:dyDescent="0.2">
      <c r="A68" s="1280" t="s">
        <v>1116</v>
      </c>
      <c r="B68" s="1283" t="s">
        <v>1102</v>
      </c>
      <c r="C68" s="1272">
        <v>114923.96</v>
      </c>
      <c r="D68" s="1272">
        <f>'PR Expenditure_7A'!D69</f>
        <v>357725.24</v>
      </c>
      <c r="E68" s="1284"/>
      <c r="F68" s="1272">
        <f t="shared" si="12"/>
        <v>-242801.27999999997</v>
      </c>
      <c r="G68" s="1274">
        <f t="shared" si="13"/>
        <v>3.1127124404693327</v>
      </c>
      <c r="H68" s="1063"/>
      <c r="I68" s="536"/>
      <c r="J68" s="1275">
        <v>2275731.96</v>
      </c>
      <c r="K68" s="1284"/>
      <c r="L68" s="1272">
        <f t="shared" si="14"/>
        <v>2275731.96</v>
      </c>
      <c r="M68" s="1274">
        <f t="shared" si="11"/>
        <v>0</v>
      </c>
      <c r="N68" s="1269"/>
      <c r="O68" s="1281" t="s">
        <v>1117</v>
      </c>
      <c r="P68" s="1093"/>
      <c r="Q68" s="1094"/>
      <c r="R68" s="1094"/>
      <c r="S68" s="1094"/>
    </row>
    <row r="69" spans="1:19" ht="12.75" hidden="1" customHeight="1" x14ac:dyDescent="0.2">
      <c r="A69" s="607"/>
      <c r="B69" s="588"/>
      <c r="C69" s="583"/>
      <c r="D69" s="583"/>
      <c r="E69" s="584"/>
      <c r="F69" s="583"/>
      <c r="G69" s="585"/>
      <c r="H69" s="940"/>
      <c r="I69" s="536"/>
      <c r="J69" s="584"/>
      <c r="K69" s="584"/>
      <c r="L69" s="583"/>
      <c r="M69" s="585"/>
      <c r="N69" s="360"/>
      <c r="O69" s="1093"/>
      <c r="P69" s="1093"/>
      <c r="Q69" s="1094"/>
      <c r="R69" s="1094"/>
      <c r="S69" s="1094"/>
    </row>
    <row r="70" spans="1:19" ht="21.75" customHeight="1" x14ac:dyDescent="0.2">
      <c r="A70" s="601" t="s">
        <v>86</v>
      </c>
      <c r="B70" s="582"/>
      <c r="C70" s="586">
        <f>ROUND(SUM(C60:C69),2)</f>
        <v>1655595.12</v>
      </c>
      <c r="D70" s="586">
        <f t="shared" ref="D70:F70" si="15">ROUND(SUM(D60:D69),2)</f>
        <v>2621877.39</v>
      </c>
      <c r="E70" s="586">
        <f t="shared" si="15"/>
        <v>0</v>
      </c>
      <c r="F70" s="586">
        <f t="shared" si="15"/>
        <v>-966282.27</v>
      </c>
      <c r="G70" s="969">
        <f>(D70+E70)/C70</f>
        <v>1.5836464835677939</v>
      </c>
      <c r="H70" s="587"/>
      <c r="I70" s="536"/>
      <c r="J70" s="586">
        <f>ROUND(SUM(J60:J69),2)</f>
        <v>8321722.1900000004</v>
      </c>
      <c r="K70" s="586">
        <f t="shared" ref="K70:L70" si="16">ROUND(SUM(K60:K69),2)</f>
        <v>0</v>
      </c>
      <c r="L70" s="586">
        <f t="shared" si="16"/>
        <v>8321722.1900000004</v>
      </c>
      <c r="M70" s="587">
        <f>K70/J70</f>
        <v>0</v>
      </c>
      <c r="N70" s="360"/>
      <c r="O70" s="1093"/>
      <c r="P70" s="1093"/>
      <c r="Q70" s="1094"/>
      <c r="R70" s="1094"/>
      <c r="S70" s="1094"/>
    </row>
    <row r="71" spans="1:19" ht="3.6" customHeight="1" thickBot="1" x14ac:dyDescent="0.25">
      <c r="A71" s="604"/>
      <c r="B71" s="606"/>
      <c r="C71" s="606"/>
      <c r="D71" s="606"/>
      <c r="E71" s="606"/>
      <c r="F71" s="606"/>
      <c r="G71" s="606"/>
      <c r="H71" s="606"/>
      <c r="I71" s="628"/>
      <c r="J71" s="606"/>
      <c r="K71" s="606"/>
      <c r="L71" s="606"/>
      <c r="M71" s="606"/>
      <c r="N71" s="605"/>
      <c r="O71" s="1095"/>
      <c r="P71" s="1093"/>
      <c r="Q71" s="1094"/>
      <c r="R71" s="1094"/>
      <c r="S71" s="1094"/>
    </row>
    <row r="72" spans="1:19" x14ac:dyDescent="0.2">
      <c r="O72" s="1094"/>
      <c r="P72" s="1094"/>
      <c r="Q72" s="1094"/>
      <c r="R72" s="1094"/>
      <c r="S72" s="1094"/>
    </row>
    <row r="73" spans="1:19" ht="66.599999999999994" customHeight="1" x14ac:dyDescent="0.2">
      <c r="A73" s="955" t="s">
        <v>89</v>
      </c>
      <c r="B73" s="358"/>
      <c r="C73" s="943" t="str">
        <f>IF(AND(ROUND(C26,0)=ROUND(C55,0),ROUND(C70,0)=ROUND(C55,0)),"OK","WARNING - Sum of the three tables not matching")</f>
        <v>OK</v>
      </c>
      <c r="D73" s="943" t="str">
        <f>IF(AND(ROUND(D26,0)=ROUND(D55,0),ROUND(D70,0)=ROUND(D55,0)),"OK","WARNING - Sum of the three tables not matching")</f>
        <v>OK</v>
      </c>
      <c r="E73" s="943" t="str">
        <f>IF(AND(ROUND(E26,0)=ROUND(E55,0),ROUND(E70,0)=ROUND(E55,0)),"OK","WARNING - Sum of the three tables not matching")</f>
        <v>OK</v>
      </c>
      <c r="F73" s="952"/>
      <c r="G73" s="952"/>
      <c r="H73" s="952"/>
      <c r="I73" s="953"/>
      <c r="J73" s="943" t="str">
        <f>IF(AND(ROUND(J26,0)=ROUND(J55,0),ROUND(J55,0)=ROUND(J70,0)),"OK","WARNING - Sum of the three tables not matching")</f>
        <v>OK</v>
      </c>
      <c r="K73" s="943" t="str">
        <f>IF(AND(ROUND(K26,0)=ROUND(K55,0),ROUND(K55,0)=ROUND(K70,0)),"OK","WARNING - Sum of the three tables not matching")</f>
        <v>OK</v>
      </c>
      <c r="O73" s="1094"/>
      <c r="P73" s="1094"/>
      <c r="Q73" s="1094"/>
      <c r="R73" s="1094"/>
      <c r="S73" s="1094"/>
    </row>
  </sheetData>
  <sheetProtection algorithmName="SHA-512" hashValue="dWXb23XvHgYkYSFT1ox8D6SufVS2HF38MHTWUWkzdV6LODpEOTZc3OqE+FHPIm8oQ6PJCp+V4NEbKuAcWp5Z9Q==" saltValue="90CpHszdCCFeXR4GIOlxKw==" spinCount="100000" sheet="1" objects="1" scenarios="1" formatColumns="0" formatRows="0" sort="0" autoFilter="0"/>
  <autoFilter ref="A37:Q53"/>
  <mergeCells count="3">
    <mergeCell ref="A1:H1"/>
    <mergeCell ref="E2:F2"/>
    <mergeCell ref="E3:F3"/>
  </mergeCells>
  <conditionalFormatting sqref="C73:E73">
    <cfRule type="expression" dxfId="62" priority="10">
      <formula>C73="WARNING - Sum of the three tables not matching"</formula>
    </cfRule>
  </conditionalFormatting>
  <conditionalFormatting sqref="J73:K73">
    <cfRule type="expression" dxfId="61" priority="8">
      <formula>J73="WARNING - Sum of the three tables not matching"</formula>
    </cfRule>
  </conditionalFormatting>
  <dataValidations count="11">
    <dataValidation type="list" allowBlank="1" showInputMessage="1" showErrorMessage="1" sqref="B60:B69">
      <formula1>Type_of_Recipient</formula1>
    </dataValidation>
    <dataValidation type="list" allowBlank="1" showInputMessage="1" showErrorMessage="1" sqref="B3">
      <formula1>"Select,Yes,No"</formula1>
    </dataValidation>
    <dataValidation type="list" allowBlank="1" showInputMessage="1" showErrorMessage="1" sqref="B38:B53">
      <formula1>OFFSET(ModuleStart,MATCH(O38,ModuleColumn,0)-1,3,COUNTIF(ModuleColumn,O38),1)</formula1>
    </dataValidation>
    <dataValidation type="list" allowBlank="1" showInputMessage="1" showErrorMessage="1" sqref="A38:A53">
      <formula1>Module_List</formula1>
    </dataValidation>
    <dataValidation type="list" allowBlank="1" showInputMessage="1" showErrorMessage="1" sqref="A24">
      <formula1>Cost_Input</formula1>
    </dataValidation>
    <dataValidation type="decimal" allowBlank="1" showInputMessage="1" showErrorMessage="1" errorTitle="X-Author for Excel" error="Please enter a valid numeric value. Valid range for Budget for Reporting Period is -9999999999.99 to 9999999999.99." promptTitle="X-Author for Excel" sqref="C7:C20 C31:C36 C60:C68 C38:C53">
      <formula1>-9999999999.99</formula1>
      <formula2>9999999999.99</formula2>
    </dataValidation>
    <dataValidation type="decimal" allowBlank="1" showInputMessage="1" showErrorMessage="1" errorTitle="X-Author for Excel" error="Please enter a valid numeric value. Valid range for LFA Adjustment on Expenditures is -9999999999.99 to 9999999999.99." promptTitle="X-Author for Excel" sqref="E7:E20 E31:E36 E60:E68 E38:E53">
      <formula1>-9999999999.99</formula1>
      <formula2>9999999999.99</formula2>
    </dataValidation>
    <dataValidation type="decimal" allowBlank="1" showInputMessage="1" showErrorMessage="1" errorTitle="X-Author for Excel" error="Please enter a valid numeric value. Valid range for Cumulative Budget is -9999999999.99 to 9999999999.99." promptTitle="X-Author for Excel" sqref="J7:J20 J31:J36 J60:J68 J38:J53">
      <formula1>-9999999999.99</formula1>
      <formula2>9999999999.99</formula2>
    </dataValidation>
    <dataValidation type="decimal" allowBlank="1" showInputMessage="1" showErrorMessage="1" errorTitle="X-Author for Excel" error="Please enter a valid numeric value. Valid range for LFA Cumulative Expenditures is -9999999999.99 to 9999999999.99." promptTitle="X-Author for Excel" sqref="K7:K20 K31:K36 K60:K68 K38:K53">
      <formula1>-9999999999.99</formula1>
      <formula2>9999999999.99</formula2>
    </dataValidation>
    <dataValidation type="custom" allowBlank="1" showInputMessage="1" showErrorMessage="1" errorTitle="X-Author for Excel" error="Id and Lookup fields are not editable." promptTitle="X-Author for Excel" sqref="O7:O20 O31:O36 O60:O68 Q38:Q53">
      <formula1>""</formula1>
    </dataValidation>
    <dataValidation type="decimal" allowBlank="1" showInputMessage="1" showErrorMessage="1" errorTitle="X-Author for Excel" error="Please enter a valid numeric value. Valid range for Cost Grouping Number is -99999 to 99999." promptTitle="X-Author for Excel" sqref="P7:P20">
      <formula1>-99999</formula1>
      <formula2>99999</formula2>
    </dataValidation>
  </dataValidations>
  <printOptions horizontalCentered="1"/>
  <pageMargins left="0.25" right="0.25" top="0.75" bottom="0.75" header="0.3" footer="0.3"/>
  <pageSetup paperSize="9" scale="42" orientation="landscape" r:id="rId1"/>
  <headerFooter>
    <oddFooter>&amp;L&amp;A&amp;R&amp;P</oddFooter>
  </headerFooter>
  <extLst>
    <ext xmlns:x14="http://schemas.microsoft.com/office/spreadsheetml/2009/9/main" uri="{78C0D931-6437-407d-A8EE-F0AAD7539E65}">
      <x14:conditionalFormattings>
        <x14:conditionalFormatting xmlns:xm="http://schemas.microsoft.com/office/excel/2006/main">
          <x14:cfRule type="expression" priority="7" id="{B26FEAD5-2997-434C-A7FC-44D1EC79DB58}">
            <xm:f>CoverSheet!$D$11="EUR"</xm:f>
            <x14:dxf>
              <numFmt numFmtId="184" formatCode="[$€-2]\ #,##0;[Red]\-[$€-2]\ #,##0"/>
            </x14:dxf>
          </x14:cfRule>
          <xm:sqref>C26:F26 J26:L26 C22:F22 J22:L22 C24:F24 J24:L24 C60:F70 J60:L70 C31:F53 J31:L53</xm:sqref>
        </x14:conditionalFormatting>
        <x14:conditionalFormatting xmlns:xm="http://schemas.microsoft.com/office/excel/2006/main">
          <x14:cfRule type="expression" priority="5" id="{B70AD16B-FC29-41E5-AF85-5E5DA56D54B7}">
            <xm:f>CoverSheet!$D$11="EUR"</xm:f>
            <x14:dxf>
              <numFmt numFmtId="184" formatCode="[$€-2]\ #,##0;[Red]\-[$€-2]\ #,##0"/>
            </x14:dxf>
          </x14:cfRule>
          <xm:sqref>C55:F55 J55:L55</xm:sqref>
        </x14:conditionalFormatting>
        <x14:conditionalFormatting xmlns:xm="http://schemas.microsoft.com/office/excel/2006/main">
          <x14:cfRule type="expression" priority="4" id="{A6EC35F5-0DDF-4F80-9286-5556AA82D463}">
            <xm:f>CoverSheet!$D$11="EUR"</xm:f>
            <x14:dxf>
              <numFmt numFmtId="184" formatCode="[$€-2]\ #,##0;[Red]\-[$€-2]\ #,##0"/>
            </x14:dxf>
          </x14:cfRule>
          <xm:sqref>C7:C20 J7:K20 E7:E20</xm:sqref>
        </x14:conditionalFormatting>
        <x14:conditionalFormatting xmlns:xm="http://schemas.microsoft.com/office/excel/2006/main">
          <x14:cfRule type="expression" priority="3" id="{758E1BC6-ABF4-48D9-B98B-08DCB5F58E27}">
            <xm:f>CoverSheet!$D$11="EUR"</xm:f>
            <x14:dxf>
              <numFmt numFmtId="184" formatCode="[$€-2]\ #,##0;[Red]\-[$€-2]\ #,##0"/>
            </x14:dxf>
          </x14:cfRule>
          <xm:sqref>D7:D20</xm:sqref>
        </x14:conditionalFormatting>
        <x14:conditionalFormatting xmlns:xm="http://schemas.microsoft.com/office/excel/2006/main">
          <x14:cfRule type="expression" priority="2" id="{FA035CCE-802A-49FD-8170-D3BB7CBBE109}">
            <xm:f>CoverSheet!$D$11="EUR"</xm:f>
            <x14:dxf>
              <numFmt numFmtId="184" formatCode="[$€-2]\ #,##0;[Red]\-[$€-2]\ #,##0"/>
            </x14:dxf>
          </x14:cfRule>
          <xm:sqref>F7:F20</xm:sqref>
        </x14:conditionalFormatting>
        <x14:conditionalFormatting xmlns:xm="http://schemas.microsoft.com/office/excel/2006/main">
          <x14:cfRule type="expression" priority="1" id="{B36CE3DE-317A-4325-B0EE-31F3F273A613}">
            <xm:f>CoverSheet!$D$11="EUR"</xm:f>
            <x14:dxf>
              <numFmt numFmtId="184" formatCode="[$€-2]\ #,##0;[Red]\-[$€-2]\ #,##0"/>
            </x14:dxf>
          </x14:cfRule>
          <xm:sqref>L7:L20</xm:sqref>
        </x14:conditionalFormatting>
      </x14:conditionalFormatting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F20"/>
  <sheetViews>
    <sheetView workbookViewId="0">
      <selection activeCell="C7" sqref="C7"/>
    </sheetView>
  </sheetViews>
  <sheetFormatPr defaultColWidth="8.85546875" defaultRowHeight="12.75" x14ac:dyDescent="0.2"/>
  <cols>
    <col min="1" max="1" width="29.85546875" style="364" bestFit="1" customWidth="1"/>
    <col min="2" max="2" width="30.85546875" style="364" bestFit="1" customWidth="1"/>
    <col min="3" max="3" width="13.140625" style="364" customWidth="1"/>
    <col min="4" max="4" width="14.85546875" style="364" customWidth="1"/>
    <col min="5" max="5" width="15.140625" style="364" customWidth="1"/>
    <col min="6" max="6" width="11.85546875" style="364" customWidth="1"/>
    <col min="7" max="16384" width="8.85546875" style="364"/>
  </cols>
  <sheetData>
    <row r="1" spans="1:6" x14ac:dyDescent="0.2">
      <c r="A1" s="784" t="s">
        <v>526</v>
      </c>
    </row>
    <row r="5" spans="1:6" x14ac:dyDescent="0.2">
      <c r="A5" s="364" t="s">
        <v>522</v>
      </c>
      <c r="B5" s="819">
        <v>43101</v>
      </c>
      <c r="C5" s="819">
        <f>IF(B5="",1/1/2000,B5)</f>
        <v>43101</v>
      </c>
    </row>
    <row r="6" spans="1:6" x14ac:dyDescent="0.2">
      <c r="A6" s="364" t="s">
        <v>523</v>
      </c>
      <c r="B6" s="819">
        <v>43190</v>
      </c>
      <c r="C6" s="819">
        <f t="shared" ref="C6:C8" si="0">IF(B6="",1/1/2000,B6)</f>
        <v>43190</v>
      </c>
    </row>
    <row r="7" spans="1:6" x14ac:dyDescent="0.2">
      <c r="A7" s="364" t="s">
        <v>520</v>
      </c>
      <c r="B7" s="819"/>
      <c r="C7" s="819">
        <f t="shared" si="0"/>
        <v>5.0000000000000001E-4</v>
      </c>
    </row>
    <row r="8" spans="1:6" x14ac:dyDescent="0.2">
      <c r="A8" s="364" t="s">
        <v>521</v>
      </c>
      <c r="B8" s="819"/>
      <c r="C8" s="819">
        <f t="shared" si="0"/>
        <v>5.0000000000000001E-4</v>
      </c>
    </row>
    <row r="12" spans="1:6" x14ac:dyDescent="0.2">
      <c r="A12" s="784" t="s">
        <v>524</v>
      </c>
    </row>
    <row r="13" spans="1:6" x14ac:dyDescent="0.2">
      <c r="A13" s="1198" t="s">
        <v>504</v>
      </c>
      <c r="B13" s="1198" t="s">
        <v>500</v>
      </c>
      <c r="C13" s="1198" t="s">
        <v>502</v>
      </c>
      <c r="D13" s="1198">
        <v>-1</v>
      </c>
      <c r="E13" s="1198"/>
      <c r="F13" s="1198" t="s">
        <v>356</v>
      </c>
    </row>
    <row r="14" spans="1:6" hidden="1" x14ac:dyDescent="0.2">
      <c r="A14" s="1199" t="s">
        <v>503</v>
      </c>
      <c r="B14" s="1326" t="s">
        <v>499</v>
      </c>
      <c r="C14" s="1326" t="s">
        <v>501</v>
      </c>
      <c r="D14" s="1198">
        <f>D13+1</f>
        <v>0</v>
      </c>
      <c r="E14" s="1198" t="str">
        <f>TEXT(B14,"DD/MMM/YYYY")&amp;"-"&amp;TEXT(C14,"DD/MMM/YYYY")</f>
        <v>[Start Date]-[End date]</v>
      </c>
      <c r="F14" s="1198" t="s">
        <v>355</v>
      </c>
    </row>
    <row r="15" spans="1:6" x14ac:dyDescent="0.2">
      <c r="A15" s="1199" t="s">
        <v>1192</v>
      </c>
      <c r="B15" s="1326">
        <v>43101</v>
      </c>
      <c r="C15" s="1326">
        <v>43190</v>
      </c>
      <c r="D15" s="1198">
        <f>D14+1</f>
        <v>1</v>
      </c>
      <c r="E15" s="1198" t="str">
        <f>TEXT(B15,"DD/MMM/YYYY")&amp;"-"&amp;TEXT(C15,"DD/MMM/YYYY")</f>
        <v>01/Jan/2018-31/Mar/2018</v>
      </c>
      <c r="F15" s="1198" t="s">
        <v>1193</v>
      </c>
    </row>
    <row r="18" spans="1:6" x14ac:dyDescent="0.2">
      <c r="A18" s="783" t="s">
        <v>525</v>
      </c>
    </row>
    <row r="19" spans="1:6" x14ac:dyDescent="0.2">
      <c r="A19" s="364" t="s">
        <v>504</v>
      </c>
      <c r="B19" s="364" t="s">
        <v>500</v>
      </c>
      <c r="C19" s="364" t="s">
        <v>502</v>
      </c>
      <c r="D19" s="364">
        <v>-1</v>
      </c>
      <c r="F19" s="364" t="s">
        <v>356</v>
      </c>
    </row>
    <row r="20" spans="1:6" hidden="1" x14ac:dyDescent="0.2">
      <c r="A20" s="364" t="s">
        <v>503</v>
      </c>
      <c r="B20" s="364" t="s">
        <v>499</v>
      </c>
      <c r="C20" s="364" t="s">
        <v>501</v>
      </c>
      <c r="D20" s="364">
        <f>D19+1</f>
        <v>0</v>
      </c>
      <c r="E20" s="364" t="str">
        <f>TEXT(B20,"DD/MMM/YYYY")&amp;"-"&amp;TEXT(C20,"DD/MMM/YYYY")</f>
        <v>[Start Date]-[End date]</v>
      </c>
      <c r="F20" s="364" t="s">
        <v>355</v>
      </c>
    </row>
  </sheetData>
  <dataValidations count="2">
    <dataValidation type="date" allowBlank="1" showInputMessage="1" showErrorMessage="1" errorTitle="X-Author for Excel" error="Please enter a valid date." promptTitle="X-Author for Excel" sqref="B14:C15 B5:B8">
      <formula1>1</formula1>
      <formula2>767376</formula2>
    </dataValidation>
    <dataValidation type="custom" allowBlank="1" showInputMessage="1" showErrorMessage="1" errorTitle="X-Author for Excel" error="Id and Lookup fields are not editable." promptTitle="X-Author for Excel" sqref="F14:F15">
      <formula1>""</formula1>
    </dataValidation>
  </dataValidations>
  <pageMargins left="0.75" right="0.75" top="1" bottom="1" header="0.5" footer="0.5"/>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dimension ref="A1:D55"/>
  <sheetViews>
    <sheetView workbookViewId="0">
      <selection activeCell="D18" sqref="D18"/>
    </sheetView>
  </sheetViews>
  <sheetFormatPr defaultColWidth="8.85546875" defaultRowHeight="12.75" x14ac:dyDescent="0.2"/>
  <cols>
    <col min="1" max="1" width="29.140625" style="364" bestFit="1" customWidth="1"/>
    <col min="2" max="2" width="30.5703125" style="364" bestFit="1" customWidth="1"/>
    <col min="3" max="3" width="27.140625" style="364" bestFit="1" customWidth="1"/>
    <col min="4" max="4" width="36.140625" style="364" bestFit="1" customWidth="1"/>
    <col min="5" max="16384" width="8.85546875" style="364"/>
  </cols>
  <sheetData>
    <row r="1" spans="1:4" x14ac:dyDescent="0.2">
      <c r="A1" s="364" t="s">
        <v>527</v>
      </c>
      <c r="B1" s="364" t="b">
        <v>1</v>
      </c>
      <c r="C1" s="364" t="s">
        <v>285</v>
      </c>
      <c r="D1" s="1183" t="s">
        <v>958</v>
      </c>
    </row>
    <row r="2" spans="1:4" x14ac:dyDescent="0.2">
      <c r="A2" s="364" t="s">
        <v>274</v>
      </c>
      <c r="B2" s="364" t="b">
        <v>1</v>
      </c>
      <c r="C2" s="364" t="s">
        <v>286</v>
      </c>
      <c r="D2" s="1184">
        <v>43100</v>
      </c>
    </row>
    <row r="3" spans="1:4" x14ac:dyDescent="0.2">
      <c r="A3" s="364" t="s">
        <v>275</v>
      </c>
      <c r="B3" s="364" t="b">
        <v>0</v>
      </c>
      <c r="C3" s="364" t="s">
        <v>284</v>
      </c>
      <c r="D3" s="1182">
        <v>4</v>
      </c>
    </row>
    <row r="4" spans="1:4" x14ac:dyDescent="0.2">
      <c r="A4" s="1198" t="s">
        <v>277</v>
      </c>
      <c r="B4" s="1198" t="s">
        <v>281</v>
      </c>
      <c r="C4" s="1198" t="s">
        <v>279</v>
      </c>
      <c r="D4" s="1198" t="s">
        <v>283</v>
      </c>
    </row>
    <row r="5" spans="1:4" hidden="1" x14ac:dyDescent="0.2">
      <c r="A5" s="1199" t="s">
        <v>276</v>
      </c>
      <c r="B5" s="1198" t="s">
        <v>280</v>
      </c>
      <c r="C5" s="1198" t="s">
        <v>278</v>
      </c>
      <c r="D5" s="1198" t="s">
        <v>282</v>
      </c>
    </row>
    <row r="6" spans="1:4" x14ac:dyDescent="0.2">
      <c r="A6" s="1199" t="s">
        <v>945</v>
      </c>
      <c r="B6" s="1198" t="b">
        <v>0</v>
      </c>
      <c r="C6" s="1198" t="b">
        <v>1</v>
      </c>
      <c r="D6" s="1198" t="b">
        <v>1</v>
      </c>
    </row>
    <row r="7" spans="1:4" x14ac:dyDescent="0.2">
      <c r="A7" s="1199" t="s">
        <v>955</v>
      </c>
      <c r="B7" s="1198" t="b">
        <v>0</v>
      </c>
      <c r="C7" s="1198" t="b">
        <v>1</v>
      </c>
      <c r="D7" s="1198" t="b">
        <v>1</v>
      </c>
    </row>
    <row r="8" spans="1:4" x14ac:dyDescent="0.2">
      <c r="A8" s="1199" t="s">
        <v>950</v>
      </c>
      <c r="B8" s="1198" t="b">
        <v>0</v>
      </c>
      <c r="C8" s="1198" t="b">
        <v>1</v>
      </c>
      <c r="D8" s="1198" t="b">
        <v>0</v>
      </c>
    </row>
    <row r="9" spans="1:4" x14ac:dyDescent="0.2">
      <c r="A9" s="1199" t="s">
        <v>919</v>
      </c>
      <c r="B9" s="1198" t="b">
        <v>0</v>
      </c>
      <c r="C9" s="1198" t="b">
        <v>1</v>
      </c>
      <c r="D9" s="1198" t="b">
        <v>1</v>
      </c>
    </row>
    <row r="10" spans="1:4" x14ac:dyDescent="0.2">
      <c r="A10" s="1199" t="s">
        <v>959</v>
      </c>
      <c r="B10" s="1198" t="b">
        <v>0</v>
      </c>
      <c r="C10" s="1198" t="b">
        <v>1</v>
      </c>
      <c r="D10" s="1198" t="b">
        <v>1</v>
      </c>
    </row>
    <row r="11" spans="1:4" x14ac:dyDescent="0.2">
      <c r="A11" s="1199" t="s">
        <v>943</v>
      </c>
      <c r="B11" s="1198" t="b">
        <v>0</v>
      </c>
      <c r="C11" s="1198" t="b">
        <v>1</v>
      </c>
      <c r="D11" s="1198" t="b">
        <v>1</v>
      </c>
    </row>
    <row r="12" spans="1:4" x14ac:dyDescent="0.2">
      <c r="A12" s="1199" t="s">
        <v>944</v>
      </c>
      <c r="B12" s="1198" t="b">
        <v>0</v>
      </c>
      <c r="C12" s="1198" t="b">
        <v>1</v>
      </c>
      <c r="D12" s="1198" t="b">
        <v>1</v>
      </c>
    </row>
    <row r="13" spans="1:4" x14ac:dyDescent="0.2">
      <c r="A13" s="1199" t="s">
        <v>921</v>
      </c>
      <c r="B13" s="1198" t="b">
        <v>0</v>
      </c>
      <c r="C13" s="1198" t="b">
        <v>1</v>
      </c>
      <c r="D13" s="1198" t="b">
        <v>0</v>
      </c>
    </row>
    <row r="14" spans="1:4" x14ac:dyDescent="0.2">
      <c r="A14" s="1199" t="s">
        <v>916</v>
      </c>
      <c r="B14" s="1198" t="b">
        <v>0</v>
      </c>
      <c r="C14" s="1198" t="b">
        <v>1</v>
      </c>
      <c r="D14" s="1198" t="b">
        <v>1</v>
      </c>
    </row>
    <row r="15" spans="1:4" x14ac:dyDescent="0.2">
      <c r="A15" s="1199" t="s">
        <v>951</v>
      </c>
      <c r="B15" s="1198" t="b">
        <v>0</v>
      </c>
      <c r="C15" s="1198" t="b">
        <v>1</v>
      </c>
      <c r="D15" s="1198" t="b">
        <v>1</v>
      </c>
    </row>
    <row r="16" spans="1:4" x14ac:dyDescent="0.2">
      <c r="A16" s="1199" t="s">
        <v>920</v>
      </c>
      <c r="B16" s="1198" t="b">
        <v>0</v>
      </c>
      <c r="C16" s="1198" t="b">
        <v>1</v>
      </c>
      <c r="D16" s="1198" t="b">
        <v>1</v>
      </c>
    </row>
    <row r="17" spans="1:4" x14ac:dyDescent="0.2">
      <c r="A17" s="1199" t="s">
        <v>917</v>
      </c>
      <c r="B17" s="1198" t="b">
        <v>0</v>
      </c>
      <c r="C17" s="1198" t="b">
        <v>1</v>
      </c>
      <c r="D17" s="1198" t="b">
        <v>1</v>
      </c>
    </row>
    <row r="18" spans="1:4" x14ac:dyDescent="0.2">
      <c r="A18" s="1199" t="s">
        <v>952</v>
      </c>
      <c r="B18" s="1198" t="b">
        <v>0</v>
      </c>
      <c r="C18" s="1198" t="b">
        <v>1</v>
      </c>
      <c r="D18" s="1198" t="b">
        <v>1</v>
      </c>
    </row>
    <row r="19" spans="1:4" x14ac:dyDescent="0.2">
      <c r="A19" s="1199" t="s">
        <v>960</v>
      </c>
      <c r="B19" s="1198" t="b">
        <v>0</v>
      </c>
      <c r="C19" s="1198" t="b">
        <v>1</v>
      </c>
      <c r="D19" s="1198" t="b">
        <v>1</v>
      </c>
    </row>
    <row r="20" spans="1:4" x14ac:dyDescent="0.2">
      <c r="A20" s="1199" t="s">
        <v>949</v>
      </c>
      <c r="B20" s="1198" t="b">
        <v>0</v>
      </c>
      <c r="C20" s="1198" t="b">
        <v>0</v>
      </c>
      <c r="D20" s="1198" t="b">
        <v>0</v>
      </c>
    </row>
    <row r="21" spans="1:4" x14ac:dyDescent="0.2">
      <c r="A21" s="1199" t="s">
        <v>918</v>
      </c>
      <c r="B21" s="1198" t="b">
        <v>0</v>
      </c>
      <c r="C21" s="1198" t="b">
        <v>1</v>
      </c>
      <c r="D21" s="1198" t="b">
        <v>1</v>
      </c>
    </row>
    <row r="22" spans="1:4" x14ac:dyDescent="0.2">
      <c r="A22" s="1199" t="s">
        <v>948</v>
      </c>
      <c r="B22" s="1198" t="b">
        <v>0</v>
      </c>
      <c r="C22" s="1198" t="b">
        <v>1</v>
      </c>
      <c r="D22" s="1198" t="b">
        <v>1</v>
      </c>
    </row>
    <row r="23" spans="1:4" x14ac:dyDescent="0.2">
      <c r="A23" s="1199" t="s">
        <v>961</v>
      </c>
      <c r="B23" s="1198" t="b">
        <v>0</v>
      </c>
      <c r="C23" s="1198" t="b">
        <v>1</v>
      </c>
      <c r="D23" s="1198" t="b">
        <v>1</v>
      </c>
    </row>
    <row r="24" spans="1:4" x14ac:dyDescent="0.2">
      <c r="A24" s="1199" t="s">
        <v>915</v>
      </c>
      <c r="B24" s="1198" t="b">
        <v>0</v>
      </c>
      <c r="C24" s="1198" t="b">
        <v>1</v>
      </c>
      <c r="D24" s="1198" t="b">
        <v>1</v>
      </c>
    </row>
    <row r="25" spans="1:4" x14ac:dyDescent="0.2">
      <c r="A25" s="1199" t="s">
        <v>962</v>
      </c>
      <c r="B25" s="1198" t="b">
        <v>0</v>
      </c>
      <c r="C25" s="1198" t="b">
        <v>1</v>
      </c>
      <c r="D25" s="1198" t="b">
        <v>1</v>
      </c>
    </row>
    <row r="35" spans="1:2" x14ac:dyDescent="0.2">
      <c r="A35" s="364" t="s">
        <v>399</v>
      </c>
    </row>
    <row r="36" spans="1:2" x14ac:dyDescent="0.2">
      <c r="A36" s="364" t="s">
        <v>383</v>
      </c>
    </row>
    <row r="37" spans="1:2" x14ac:dyDescent="0.2">
      <c r="A37" s="364" t="s">
        <v>381</v>
      </c>
      <c r="B37" s="364" t="s">
        <v>967</v>
      </c>
    </row>
    <row r="40" spans="1:2" x14ac:dyDescent="0.2">
      <c r="A40" s="364" t="s">
        <v>382</v>
      </c>
    </row>
    <row r="41" spans="1:2" x14ac:dyDescent="0.2">
      <c r="A41" s="364" t="s">
        <v>356</v>
      </c>
      <c r="B41" s="364" t="s">
        <v>966</v>
      </c>
    </row>
    <row r="44" spans="1:2" x14ac:dyDescent="0.2">
      <c r="A44" s="364" t="s">
        <v>490</v>
      </c>
      <c r="B44" s="364" t="s">
        <v>957</v>
      </c>
    </row>
    <row r="50" spans="1:2" x14ac:dyDescent="0.2">
      <c r="A50" s="364" t="s">
        <v>593</v>
      </c>
    </row>
    <row r="51" spans="1:2" x14ac:dyDescent="0.2">
      <c r="A51" s="364" t="s">
        <v>554</v>
      </c>
      <c r="B51" s="1184">
        <v>42736</v>
      </c>
    </row>
    <row r="52" spans="1:2" x14ac:dyDescent="0.2">
      <c r="A52" s="364" t="s">
        <v>286</v>
      </c>
      <c r="B52" s="1184">
        <v>43100</v>
      </c>
    </row>
    <row r="55" spans="1:2" x14ac:dyDescent="0.2">
      <c r="A55" s="364" t="s">
        <v>592</v>
      </c>
      <c r="B55" s="364" t="str">
        <f ca="1">CONCATENATE(CoverSheet!D7,"_Progress Report_Imported_",TEXT(TODAY(),"dd-mmm-yy"))</f>
        <v>ROU-T-RAA_Progress Report_Imported_12-Jun-18</v>
      </c>
    </row>
  </sheetData>
  <dataValidations count="5">
    <dataValidation type="custom" allowBlank="1" showInputMessage="1" showErrorMessage="1" errorTitle="X-Author for Excel" error="Id and Lookup fields are not editable." promptTitle="X-Author for Excel" sqref="B41 B44 B37">
      <formula1>""</formula1>
    </dataValidation>
    <dataValidation type="list" allowBlank="1" showInputMessage="1" showErrorMessage="1" errorTitle="X-Author for Excel" error="Please select either TRUE or FALSE from the dropdown." promptTitle="X-Author for Excel" sqref="B5:D25 B1:B3">
      <formula1>"TRUE,FALSE"</formula1>
    </dataValidation>
    <dataValidation type="decimal" allowBlank="1" showInputMessage="1" showErrorMessage="1" errorTitle="X-Author for Excel" error="Please enter a valid numeric value. Valid range for Version is -9999999999 to 9999999999." promptTitle="X-Author for Excel" sqref="D3">
      <formula1>-9999999999</formula1>
      <formula2>9999999999</formula2>
    </dataValidation>
    <dataValidation type="date" allowBlank="1" showInputMessage="1" showErrorMessage="1" errorTitle="X-Author for Excel" error="Please enter a valid date." promptTitle="X-Author for Excel" sqref="D2 B51:B52">
      <formula1>1</formula1>
      <formula2>767376</formula2>
    </dataValidation>
    <dataValidation type="list" allowBlank="1" showInputMessage="1" showErrorMessage="1" errorTitle="X-Author for Excel" error="Please select a value from the drop-down." promptTitle="X-Author for Excel" sqref="A5:A25">
      <formula1>IF(IFERROR(ROWS(INDIRECT(SUBSTITUTE("AIM_Opt_Ins__c.AIM_Tab_Name__c"," ","_"))),-1) &lt; 0, XAuthorInvalidPicklistData,INDIRECT(SUBSTITUTE("AIM_Opt_Ins__c.AIM_Tab_Name__c"," ","_")))</formula1>
    </dataValidation>
  </dataValidations>
  <pageMargins left="0.75" right="0.75" top="1" bottom="1" header="0.5" footer="0.5"/>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7">
    <tabColor rgb="FF3FAF01"/>
  </sheetPr>
  <dimension ref="A1:U140"/>
  <sheetViews>
    <sheetView showGridLines="0" view="pageBreakPreview" topLeftCell="A73" zoomScale="52" zoomScaleNormal="55" zoomScaleSheetLayoutView="52" workbookViewId="0">
      <selection activeCell="E95" sqref="C95:E95"/>
    </sheetView>
  </sheetViews>
  <sheetFormatPr defaultColWidth="8.85546875" defaultRowHeight="14.25" x14ac:dyDescent="0.2"/>
  <cols>
    <col min="1" max="1" width="57.85546875" style="755" customWidth="1"/>
    <col min="2" max="2" width="53.5703125" style="755" customWidth="1"/>
    <col min="3" max="7" width="19" style="755" customWidth="1"/>
    <col min="8" max="8" width="63.85546875" style="755" customWidth="1"/>
    <col min="9" max="9" width="14.85546875" style="753" customWidth="1"/>
    <col min="10" max="11" width="19.85546875" style="753" customWidth="1"/>
    <col min="12" max="12" width="14.85546875" style="753" hidden="1" customWidth="1"/>
    <col min="13" max="13" width="25.42578125" style="754" customWidth="1"/>
    <col min="14" max="14" width="65.42578125" style="754" customWidth="1"/>
    <col min="15" max="15" width="8.85546875" style="757" hidden="1" customWidth="1"/>
    <col min="16" max="16" width="8.85546875" style="996" hidden="1" customWidth="1"/>
    <col min="17" max="19" width="8.85546875" style="757" hidden="1" customWidth="1"/>
    <col min="20" max="21" width="0" style="757" hidden="1" customWidth="1"/>
    <col min="22" max="16384" width="8.85546875" style="757"/>
  </cols>
  <sheetData>
    <row r="1" spans="1:21" s="754" customFormat="1" ht="27" x14ac:dyDescent="0.35">
      <c r="A1" s="1729" t="str">
        <f>IF(CoverSheet!J12="N/A","Progress Report","Progress Report with Disbursement Request")</f>
        <v>Progress Report with Disbursement Request</v>
      </c>
      <c r="B1" s="1729"/>
      <c r="C1" s="1729"/>
      <c r="D1" s="1729"/>
      <c r="E1" s="1729"/>
      <c r="F1" s="1729"/>
      <c r="G1" s="1729"/>
      <c r="H1" s="1729"/>
      <c r="I1" s="1729"/>
      <c r="J1" s="753"/>
      <c r="K1" s="753"/>
      <c r="L1" s="753"/>
      <c r="P1" s="996"/>
    </row>
    <row r="2" spans="1:21" s="754" customFormat="1" ht="15" thickBot="1" x14ac:dyDescent="0.25">
      <c r="A2" s="755"/>
      <c r="B2" s="755"/>
      <c r="C2" s="755"/>
      <c r="D2" s="755"/>
      <c r="E2" s="755"/>
      <c r="F2" s="755"/>
      <c r="G2" s="755"/>
      <c r="H2" s="755"/>
      <c r="I2" s="753"/>
      <c r="J2" s="753"/>
      <c r="K2" s="753"/>
      <c r="L2" s="753"/>
      <c r="P2" s="996"/>
    </row>
    <row r="3" spans="1:21" s="756" customFormat="1" ht="27" customHeight="1" thickBot="1" x14ac:dyDescent="0.25">
      <c r="A3" s="871" t="s">
        <v>419</v>
      </c>
      <c r="B3" s="864"/>
      <c r="C3" s="1732" t="str">
        <f>CoverSheet!F12</f>
        <v>Disbursement Request Execution Period</v>
      </c>
      <c r="D3" s="1733"/>
      <c r="E3" s="1733"/>
      <c r="F3" s="1733"/>
      <c r="G3" s="877">
        <f>IF(CoverSheet!J12="","N/A",CoverSheet!J12)</f>
        <v>43101</v>
      </c>
      <c r="H3" s="878" t="str">
        <f>IF(CoverSheet!K12="","N/A",CoverSheet!K12)</f>
        <v>End Date:</v>
      </c>
      <c r="I3" s="879"/>
      <c r="J3" s="880">
        <f>IF(CoverSheet!L12="","N/A",CoverSheet!L12)</f>
        <v>43190</v>
      </c>
      <c r="K3" s="881"/>
      <c r="L3" s="881"/>
      <c r="M3" s="882"/>
      <c r="N3" s="883"/>
      <c r="P3" s="997"/>
    </row>
    <row r="4" spans="1:21" s="756" customFormat="1" ht="29.25" customHeight="1" thickBot="1" x14ac:dyDescent="0.25">
      <c r="A4" s="888"/>
      <c r="B4" s="889"/>
      <c r="C4" s="1734" t="str">
        <f>CoverSheet!F13</f>
        <v>Disbursement Request Buffer Period</v>
      </c>
      <c r="D4" s="1735"/>
      <c r="E4" s="1735"/>
      <c r="F4" s="1735"/>
      <c r="G4" s="884" t="str">
        <f>IF(CoverSheet!J13="","N/A",CoverSheet!J13)</f>
        <v>N/A</v>
      </c>
      <c r="H4" s="885" t="str">
        <f>IF(CoverSheet!K13="","N/A",CoverSheet!K13)</f>
        <v>End Date:</v>
      </c>
      <c r="I4" s="886"/>
      <c r="J4" s="884" t="str">
        <f>IF(CoverSheet!L13="","N/A",CoverSheet!L13)</f>
        <v>N/A</v>
      </c>
      <c r="K4" s="1726" t="s">
        <v>543</v>
      </c>
      <c r="L4" s="1727"/>
      <c r="M4" s="1728"/>
      <c r="N4" s="887" t="s">
        <v>46</v>
      </c>
      <c r="P4" s="997"/>
    </row>
    <row r="5" spans="1:21" s="754" customFormat="1" x14ac:dyDescent="0.2">
      <c r="A5" s="755"/>
      <c r="B5" s="755"/>
      <c r="C5" s="755"/>
      <c r="D5" s="755"/>
      <c r="E5" s="755"/>
      <c r="F5" s="755"/>
      <c r="G5" s="755"/>
      <c r="H5" s="755"/>
      <c r="I5" s="753"/>
      <c r="J5" s="753"/>
      <c r="K5" s="753"/>
      <c r="L5" s="753"/>
      <c r="P5" s="996"/>
    </row>
    <row r="6" spans="1:21" ht="24.75" customHeight="1" x14ac:dyDescent="0.2">
      <c r="A6" s="113" t="s">
        <v>186</v>
      </c>
      <c r="B6" s="113"/>
      <c r="C6" s="110"/>
      <c r="D6" s="110"/>
      <c r="E6" s="110"/>
      <c r="F6" s="111"/>
      <c r="G6" s="112"/>
      <c r="H6" s="112"/>
      <c r="I6" s="148"/>
      <c r="J6" s="112"/>
      <c r="K6" s="112"/>
      <c r="L6" s="112"/>
      <c r="M6" s="112"/>
      <c r="N6" s="112"/>
      <c r="P6" s="998"/>
      <c r="Q6" s="758"/>
    </row>
    <row r="7" spans="1:21" s="758" customFormat="1" ht="0.75" customHeight="1" thickBot="1" x14ac:dyDescent="0.25">
      <c r="A7" s="755"/>
      <c r="B7" s="755"/>
      <c r="C7" s="759"/>
      <c r="D7" s="760"/>
      <c r="E7" s="760"/>
      <c r="F7" s="761"/>
      <c r="G7" s="760"/>
      <c r="H7" s="760"/>
      <c r="I7" s="753"/>
      <c r="J7" s="753"/>
      <c r="K7" s="753"/>
      <c r="L7" s="753"/>
      <c r="M7" s="762"/>
      <c r="N7" s="762"/>
      <c r="P7" s="996"/>
      <c r="Q7" s="757"/>
    </row>
    <row r="8" spans="1:21" s="758" customFormat="1" ht="106.5" customHeight="1" x14ac:dyDescent="0.2">
      <c r="A8" s="1262" t="s">
        <v>87</v>
      </c>
      <c r="B8" s="1286"/>
      <c r="C8" s="535" t="s">
        <v>185</v>
      </c>
      <c r="D8" s="535" t="s">
        <v>420</v>
      </c>
      <c r="E8" s="535" t="s">
        <v>139</v>
      </c>
      <c r="F8" s="535" t="s">
        <v>421</v>
      </c>
      <c r="G8" s="535" t="s">
        <v>150</v>
      </c>
      <c r="H8" s="535" t="s">
        <v>27</v>
      </c>
      <c r="I8" s="1287"/>
      <c r="J8" s="1288" t="s">
        <v>422</v>
      </c>
      <c r="K8" s="1288" t="s">
        <v>423</v>
      </c>
      <c r="L8" s="1288"/>
      <c r="M8" s="1288" t="s">
        <v>151</v>
      </c>
      <c r="N8" s="1288" t="s">
        <v>27</v>
      </c>
      <c r="O8" s="1289"/>
      <c r="P8" s="1290" t="s">
        <v>356</v>
      </c>
      <c r="Q8" s="1291" t="s">
        <v>556</v>
      </c>
      <c r="R8" s="1008"/>
      <c r="S8" s="1008"/>
      <c r="T8" s="1008"/>
      <c r="U8" s="1008"/>
    </row>
    <row r="9" spans="1:21" ht="16.5" hidden="1" customHeight="1" x14ac:dyDescent="0.2">
      <c r="A9" s="1292" t="s">
        <v>544</v>
      </c>
      <c r="B9" s="1293"/>
      <c r="C9" s="1294" t="s">
        <v>491</v>
      </c>
      <c r="D9" s="1295" t="s">
        <v>492</v>
      </c>
      <c r="E9" s="1294" t="s">
        <v>493</v>
      </c>
      <c r="F9" s="1295" t="s">
        <v>494</v>
      </c>
      <c r="G9" s="1296" t="str">
        <f>IFERROR(D9+F9,"")</f>
        <v/>
      </c>
      <c r="H9" s="1297" t="s">
        <v>495</v>
      </c>
      <c r="I9" s="1298"/>
      <c r="J9" s="1295" t="s">
        <v>496</v>
      </c>
      <c r="K9" s="1299" t="s">
        <v>497</v>
      </c>
      <c r="L9" s="1299"/>
      <c r="M9" s="1296" t="str">
        <f>IFERROR(J9+K9,"")</f>
        <v/>
      </c>
      <c r="N9" s="1300" t="s">
        <v>498</v>
      </c>
      <c r="O9" s="1301"/>
      <c r="P9" s="1290" t="s">
        <v>355</v>
      </c>
      <c r="Q9" s="1302" t="s">
        <v>555</v>
      </c>
      <c r="R9" s="1009"/>
      <c r="S9" s="1009"/>
      <c r="T9" s="1009"/>
      <c r="U9" s="1009"/>
    </row>
    <row r="10" spans="1:21" ht="16.5" customHeight="1" x14ac:dyDescent="0.2">
      <c r="A10" s="1292" t="s">
        <v>1064</v>
      </c>
      <c r="B10" s="1293"/>
      <c r="C10" s="1294">
        <v>67735.733999999997</v>
      </c>
      <c r="D10" s="1295">
        <v>654443</v>
      </c>
      <c r="E10" s="1294">
        <v>0</v>
      </c>
      <c r="F10" s="1295"/>
      <c r="G10" s="1296">
        <f t="shared" ref="G10:G22" si="0">IFERROR(D10+F10,"")</f>
        <v>654443</v>
      </c>
      <c r="H10" s="1297"/>
      <c r="I10" s="1298"/>
      <c r="J10" s="1295"/>
      <c r="K10" s="1299"/>
      <c r="L10" s="1299"/>
      <c r="M10" s="1296">
        <f t="shared" ref="M10:M22" si="1">IFERROR(J10+K10,"")</f>
        <v>0</v>
      </c>
      <c r="N10" s="1300"/>
      <c r="O10" s="1301"/>
      <c r="P10" s="1290" t="s">
        <v>1159</v>
      </c>
      <c r="Q10" s="1302">
        <v>1</v>
      </c>
      <c r="R10" s="1009"/>
      <c r="S10" s="1009"/>
      <c r="T10" s="1009"/>
      <c r="U10" s="1009"/>
    </row>
    <row r="11" spans="1:21" ht="16.5" customHeight="1" x14ac:dyDescent="0.2">
      <c r="A11" s="1292" t="s">
        <v>1066</v>
      </c>
      <c r="B11" s="1293"/>
      <c r="C11" s="1294">
        <v>1800</v>
      </c>
      <c r="D11" s="1295">
        <v>65669</v>
      </c>
      <c r="E11" s="1294">
        <v>0</v>
      </c>
      <c r="F11" s="1295"/>
      <c r="G11" s="1296">
        <f t="shared" si="0"/>
        <v>65669</v>
      </c>
      <c r="H11" s="1297"/>
      <c r="I11" s="1298"/>
      <c r="J11" s="1295"/>
      <c r="K11" s="1299"/>
      <c r="L11" s="1299"/>
      <c r="M11" s="1296">
        <f t="shared" si="1"/>
        <v>0</v>
      </c>
      <c r="N11" s="1300"/>
      <c r="O11" s="1301"/>
      <c r="P11" s="1290" t="s">
        <v>1160</v>
      </c>
      <c r="Q11" s="1302">
        <v>2</v>
      </c>
      <c r="R11" s="1009"/>
      <c r="S11" s="1009"/>
      <c r="T11" s="1009"/>
      <c r="U11" s="1009"/>
    </row>
    <row r="12" spans="1:21" ht="16.5" customHeight="1" x14ac:dyDescent="0.2">
      <c r="A12" s="1292" t="s">
        <v>1068</v>
      </c>
      <c r="B12" s="1293"/>
      <c r="C12" s="1294">
        <v>10800</v>
      </c>
      <c r="D12" s="1295">
        <v>276343</v>
      </c>
      <c r="E12" s="1294">
        <v>0</v>
      </c>
      <c r="F12" s="1295"/>
      <c r="G12" s="1296">
        <f t="shared" si="0"/>
        <v>276343</v>
      </c>
      <c r="H12" s="1297"/>
      <c r="I12" s="1298"/>
      <c r="J12" s="1295"/>
      <c r="K12" s="1299"/>
      <c r="L12" s="1299"/>
      <c r="M12" s="1296">
        <f t="shared" si="1"/>
        <v>0</v>
      </c>
      <c r="N12" s="1300"/>
      <c r="O12" s="1301"/>
      <c r="P12" s="1290" t="s">
        <v>1161</v>
      </c>
      <c r="Q12" s="1302">
        <v>3</v>
      </c>
      <c r="R12" s="1009"/>
      <c r="S12" s="1009"/>
      <c r="T12" s="1009"/>
      <c r="U12" s="1009"/>
    </row>
    <row r="13" spans="1:21" ht="16.5" customHeight="1" x14ac:dyDescent="0.2">
      <c r="A13" s="1292" t="s">
        <v>1070</v>
      </c>
      <c r="B13" s="1293"/>
      <c r="C13" s="1294">
        <v>0</v>
      </c>
      <c r="D13" s="1295">
        <v>0</v>
      </c>
      <c r="E13" s="1294">
        <v>0</v>
      </c>
      <c r="F13" s="1295"/>
      <c r="G13" s="1296">
        <f t="shared" si="0"/>
        <v>0</v>
      </c>
      <c r="H13" s="1297"/>
      <c r="I13" s="1298"/>
      <c r="J13" s="1295"/>
      <c r="K13" s="1299"/>
      <c r="L13" s="1299"/>
      <c r="M13" s="1296">
        <f t="shared" si="1"/>
        <v>0</v>
      </c>
      <c r="N13" s="1300"/>
      <c r="O13" s="1301"/>
      <c r="P13" s="1290" t="s">
        <v>1162</v>
      </c>
      <c r="Q13" s="1302">
        <v>4</v>
      </c>
      <c r="R13" s="1009"/>
      <c r="S13" s="1009"/>
      <c r="T13" s="1009"/>
      <c r="U13" s="1009"/>
    </row>
    <row r="14" spans="1:21" ht="16.5" customHeight="1" x14ac:dyDescent="0.2">
      <c r="A14" s="1292" t="s">
        <v>1072</v>
      </c>
      <c r="B14" s="1293"/>
      <c r="C14" s="1294">
        <v>0</v>
      </c>
      <c r="D14" s="1295">
        <v>39259</v>
      </c>
      <c r="E14" s="1294">
        <v>0</v>
      </c>
      <c r="F14" s="1295"/>
      <c r="G14" s="1296">
        <f t="shared" si="0"/>
        <v>39259</v>
      </c>
      <c r="H14" s="1297"/>
      <c r="I14" s="1298"/>
      <c r="J14" s="1295"/>
      <c r="K14" s="1299"/>
      <c r="L14" s="1299"/>
      <c r="M14" s="1296">
        <f t="shared" si="1"/>
        <v>0</v>
      </c>
      <c r="N14" s="1300"/>
      <c r="O14" s="1301"/>
      <c r="P14" s="1290" t="s">
        <v>1163</v>
      </c>
      <c r="Q14" s="1302">
        <v>5</v>
      </c>
      <c r="R14" s="1009"/>
      <c r="S14" s="1009"/>
      <c r="T14" s="1009"/>
      <c r="U14" s="1009"/>
    </row>
    <row r="15" spans="1:21" ht="16.5" customHeight="1" x14ac:dyDescent="0.2">
      <c r="A15" s="1292" t="s">
        <v>1074</v>
      </c>
      <c r="B15" s="1293"/>
      <c r="C15" s="1294">
        <v>0</v>
      </c>
      <c r="D15" s="1295">
        <v>4535</v>
      </c>
      <c r="E15" s="1294">
        <v>0</v>
      </c>
      <c r="F15" s="1295"/>
      <c r="G15" s="1296">
        <f t="shared" si="0"/>
        <v>4535</v>
      </c>
      <c r="H15" s="1297"/>
      <c r="I15" s="1298"/>
      <c r="J15" s="1295"/>
      <c r="K15" s="1299"/>
      <c r="L15" s="1299"/>
      <c r="M15" s="1296">
        <f t="shared" si="1"/>
        <v>0</v>
      </c>
      <c r="N15" s="1300"/>
      <c r="O15" s="1301"/>
      <c r="P15" s="1290" t="s">
        <v>1164</v>
      </c>
      <c r="Q15" s="1302">
        <v>6</v>
      </c>
      <c r="R15" s="1009"/>
      <c r="S15" s="1009"/>
      <c r="T15" s="1009"/>
      <c r="U15" s="1009"/>
    </row>
    <row r="16" spans="1:21" ht="16.5" customHeight="1" x14ac:dyDescent="0.2">
      <c r="A16" s="1292" t="s">
        <v>1076</v>
      </c>
      <c r="B16" s="1293"/>
      <c r="C16" s="1294">
        <v>0</v>
      </c>
      <c r="D16" s="1295">
        <v>29467</v>
      </c>
      <c r="E16" s="1294">
        <v>0</v>
      </c>
      <c r="F16" s="1295"/>
      <c r="G16" s="1296">
        <f t="shared" si="0"/>
        <v>29467</v>
      </c>
      <c r="H16" s="1297"/>
      <c r="I16" s="1298"/>
      <c r="J16" s="1295"/>
      <c r="K16" s="1299"/>
      <c r="L16" s="1299"/>
      <c r="M16" s="1296">
        <f t="shared" si="1"/>
        <v>0</v>
      </c>
      <c r="N16" s="1300"/>
      <c r="O16" s="1301"/>
      <c r="P16" s="1290" t="s">
        <v>1165</v>
      </c>
      <c r="Q16" s="1302">
        <v>7</v>
      </c>
      <c r="R16" s="1009"/>
      <c r="S16" s="1009"/>
      <c r="T16" s="1009"/>
      <c r="U16" s="1009"/>
    </row>
    <row r="17" spans="1:21" ht="16.5" customHeight="1" x14ac:dyDescent="0.2">
      <c r="A17" s="1292" t="s">
        <v>1078</v>
      </c>
      <c r="B17" s="1293"/>
      <c r="C17" s="1294">
        <v>0</v>
      </c>
      <c r="D17" s="1295">
        <v>281532</v>
      </c>
      <c r="E17" s="1294">
        <v>0</v>
      </c>
      <c r="F17" s="1295"/>
      <c r="G17" s="1296">
        <f t="shared" si="0"/>
        <v>281532</v>
      </c>
      <c r="H17" s="1297"/>
      <c r="I17" s="1298"/>
      <c r="J17" s="1295"/>
      <c r="K17" s="1299"/>
      <c r="L17" s="1299"/>
      <c r="M17" s="1296">
        <f t="shared" si="1"/>
        <v>0</v>
      </c>
      <c r="N17" s="1300"/>
      <c r="O17" s="1301"/>
      <c r="P17" s="1290" t="s">
        <v>1166</v>
      </c>
      <c r="Q17" s="1302">
        <v>8</v>
      </c>
      <c r="R17" s="1009"/>
      <c r="S17" s="1009"/>
      <c r="T17" s="1009"/>
      <c r="U17" s="1009"/>
    </row>
    <row r="18" spans="1:21" ht="16.5" customHeight="1" x14ac:dyDescent="0.2">
      <c r="A18" s="1292" t="s">
        <v>1080</v>
      </c>
      <c r="B18" s="1293"/>
      <c r="C18" s="1294">
        <v>900</v>
      </c>
      <c r="D18" s="1295">
        <v>38292</v>
      </c>
      <c r="E18" s="1294">
        <v>0</v>
      </c>
      <c r="F18" s="1295"/>
      <c r="G18" s="1296">
        <f t="shared" si="0"/>
        <v>38292</v>
      </c>
      <c r="H18" s="1297"/>
      <c r="I18" s="1298"/>
      <c r="J18" s="1295"/>
      <c r="K18" s="1299"/>
      <c r="L18" s="1299"/>
      <c r="M18" s="1296">
        <f t="shared" si="1"/>
        <v>0</v>
      </c>
      <c r="N18" s="1300"/>
      <c r="O18" s="1301"/>
      <c r="P18" s="1290" t="s">
        <v>1167</v>
      </c>
      <c r="Q18" s="1302">
        <v>9</v>
      </c>
      <c r="R18" s="1009"/>
      <c r="S18" s="1009"/>
      <c r="T18" s="1009"/>
      <c r="U18" s="1009"/>
    </row>
    <row r="19" spans="1:21" ht="16.5" customHeight="1" x14ac:dyDescent="0.2">
      <c r="A19" s="1292" t="s">
        <v>1082</v>
      </c>
      <c r="B19" s="1293"/>
      <c r="C19" s="1294">
        <v>150</v>
      </c>
      <c r="D19" s="1295">
        <v>5044</v>
      </c>
      <c r="E19" s="1294">
        <v>0</v>
      </c>
      <c r="F19" s="1295"/>
      <c r="G19" s="1296">
        <f t="shared" si="0"/>
        <v>5044</v>
      </c>
      <c r="H19" s="1297"/>
      <c r="I19" s="1298"/>
      <c r="J19" s="1295"/>
      <c r="K19" s="1299"/>
      <c r="L19" s="1299"/>
      <c r="M19" s="1296">
        <f t="shared" si="1"/>
        <v>0</v>
      </c>
      <c r="N19" s="1300"/>
      <c r="O19" s="1301"/>
      <c r="P19" s="1290" t="s">
        <v>1168</v>
      </c>
      <c r="Q19" s="1302">
        <v>10</v>
      </c>
      <c r="R19" s="1009"/>
      <c r="S19" s="1009"/>
      <c r="T19" s="1009"/>
      <c r="U19" s="1009"/>
    </row>
    <row r="20" spans="1:21" ht="16.5" customHeight="1" x14ac:dyDescent="0.2">
      <c r="A20" s="1292" t="s">
        <v>1084</v>
      </c>
      <c r="B20" s="1293"/>
      <c r="C20" s="1294">
        <v>4650</v>
      </c>
      <c r="D20" s="1295">
        <v>73357</v>
      </c>
      <c r="E20" s="1294">
        <v>0</v>
      </c>
      <c r="F20" s="1295"/>
      <c r="G20" s="1296">
        <f t="shared" si="0"/>
        <v>73357</v>
      </c>
      <c r="H20" s="1297"/>
      <c r="I20" s="1298"/>
      <c r="J20" s="1295"/>
      <c r="K20" s="1299"/>
      <c r="L20" s="1299"/>
      <c r="M20" s="1296">
        <f t="shared" si="1"/>
        <v>0</v>
      </c>
      <c r="N20" s="1300"/>
      <c r="O20" s="1301"/>
      <c r="P20" s="1290" t="s">
        <v>1169</v>
      </c>
      <c r="Q20" s="1302">
        <v>11</v>
      </c>
      <c r="R20" s="1009"/>
      <c r="S20" s="1009"/>
      <c r="T20" s="1009"/>
      <c r="U20" s="1009"/>
    </row>
    <row r="21" spans="1:21" ht="16.5" customHeight="1" x14ac:dyDescent="0.2">
      <c r="A21" s="1292" t="s">
        <v>1086</v>
      </c>
      <c r="B21" s="1293"/>
      <c r="C21" s="1294">
        <v>0</v>
      </c>
      <c r="D21" s="1295">
        <v>80748</v>
      </c>
      <c r="E21" s="1294">
        <v>0</v>
      </c>
      <c r="F21" s="1295"/>
      <c r="G21" s="1296">
        <f t="shared" si="0"/>
        <v>80748</v>
      </c>
      <c r="H21" s="1297"/>
      <c r="I21" s="1298"/>
      <c r="J21" s="1295"/>
      <c r="K21" s="1299"/>
      <c r="L21" s="1299"/>
      <c r="M21" s="1296">
        <f t="shared" si="1"/>
        <v>0</v>
      </c>
      <c r="N21" s="1300"/>
      <c r="O21" s="1301"/>
      <c r="P21" s="1290" t="s">
        <v>1170</v>
      </c>
      <c r="Q21" s="1302">
        <v>12</v>
      </c>
      <c r="R21" s="1009"/>
      <c r="S21" s="1009"/>
      <c r="T21" s="1009"/>
      <c r="U21" s="1009"/>
    </row>
    <row r="22" spans="1:21" ht="16.5" customHeight="1" x14ac:dyDescent="0.2">
      <c r="A22" s="1292" t="s">
        <v>1088</v>
      </c>
      <c r="B22" s="1293"/>
      <c r="C22" s="1294">
        <v>0</v>
      </c>
      <c r="D22" s="1295"/>
      <c r="E22" s="1294">
        <v>0</v>
      </c>
      <c r="F22" s="1295"/>
      <c r="G22" s="1296">
        <f t="shared" si="0"/>
        <v>0</v>
      </c>
      <c r="H22" s="1297"/>
      <c r="I22" s="1298"/>
      <c r="J22" s="1295"/>
      <c r="K22" s="1299"/>
      <c r="L22" s="1299"/>
      <c r="M22" s="1296">
        <f t="shared" si="1"/>
        <v>0</v>
      </c>
      <c r="N22" s="1300"/>
      <c r="O22" s="1301"/>
      <c r="P22" s="1290" t="s">
        <v>1171</v>
      </c>
      <c r="Q22" s="1302">
        <v>13</v>
      </c>
      <c r="R22" s="1009"/>
      <c r="S22" s="1009"/>
      <c r="T22" s="1009"/>
      <c r="U22" s="1009"/>
    </row>
    <row r="23" spans="1:21" ht="12" hidden="1" customHeight="1" x14ac:dyDescent="0.2">
      <c r="A23" s="797"/>
      <c r="B23" s="798"/>
      <c r="C23" s="795"/>
      <c r="D23" s="795"/>
      <c r="E23" s="795"/>
      <c r="F23" s="795"/>
      <c r="G23" s="795"/>
      <c r="H23" s="941"/>
      <c r="J23" s="789"/>
      <c r="K23" s="789"/>
      <c r="L23" s="789"/>
      <c r="M23" s="789"/>
      <c r="N23" s="942"/>
      <c r="P23" s="1007"/>
      <c r="Q23" s="1009"/>
      <c r="R23" s="1009"/>
      <c r="S23" s="1009"/>
      <c r="T23" s="1009"/>
      <c r="U23" s="1009"/>
    </row>
    <row r="24" spans="1:21" ht="24.75" customHeight="1" x14ac:dyDescent="0.2">
      <c r="A24" s="799" t="s">
        <v>86</v>
      </c>
      <c r="B24" s="800"/>
      <c r="C24" s="791">
        <f>ROUND(SUM(C9:C23),2)</f>
        <v>86035.73</v>
      </c>
      <c r="D24" s="791">
        <f t="shared" ref="D24:G24" si="2">ROUND(SUM(D9:D23),2)</f>
        <v>1548689</v>
      </c>
      <c r="E24" s="791">
        <f t="shared" si="2"/>
        <v>0</v>
      </c>
      <c r="F24" s="791">
        <f t="shared" si="2"/>
        <v>0</v>
      </c>
      <c r="G24" s="791">
        <f t="shared" si="2"/>
        <v>1548689</v>
      </c>
      <c r="H24" s="792"/>
      <c r="I24" s="148"/>
      <c r="J24" s="791">
        <f>ROUND(SUM(J9:J23),2)</f>
        <v>0</v>
      </c>
      <c r="K24" s="791">
        <f t="shared" ref="K24:M24" si="3">ROUND(SUM(K9:K23),2)</f>
        <v>0</v>
      </c>
      <c r="L24" s="791">
        <f t="shared" si="3"/>
        <v>0</v>
      </c>
      <c r="M24" s="791">
        <f t="shared" si="3"/>
        <v>0</v>
      </c>
      <c r="N24" s="792"/>
      <c r="P24" s="1007"/>
      <c r="Q24" s="1009"/>
      <c r="R24" s="1009"/>
      <c r="S24" s="1009"/>
      <c r="T24" s="1009"/>
      <c r="U24" s="1009"/>
    </row>
    <row r="25" spans="1:21" x14ac:dyDescent="0.2">
      <c r="P25" s="1007"/>
      <c r="Q25" s="1009"/>
      <c r="R25" s="1009"/>
      <c r="S25" s="1009"/>
      <c r="T25" s="1009"/>
      <c r="U25" s="1009"/>
    </row>
    <row r="26" spans="1:21" x14ac:dyDescent="0.2">
      <c r="P26" s="1007"/>
      <c r="Q26" s="1009"/>
      <c r="R26" s="1009"/>
      <c r="S26" s="1009"/>
      <c r="T26" s="1009"/>
      <c r="U26" s="1009"/>
    </row>
    <row r="27" spans="1:21" ht="18" x14ac:dyDescent="0.2">
      <c r="A27" s="113" t="s">
        <v>241</v>
      </c>
      <c r="B27" s="113"/>
      <c r="C27" s="110"/>
      <c r="D27" s="110"/>
      <c r="E27" s="110"/>
      <c r="F27" s="111"/>
      <c r="G27" s="112"/>
      <c r="H27" s="112"/>
      <c r="I27" s="148"/>
      <c r="J27" s="112"/>
      <c r="K27" s="112"/>
      <c r="L27" s="112"/>
      <c r="M27" s="112"/>
      <c r="N27" s="112"/>
      <c r="P27" s="1007"/>
      <c r="Q27" s="1009"/>
      <c r="R27" s="1009"/>
      <c r="S27" s="1009"/>
      <c r="T27" s="1009"/>
      <c r="U27" s="1009"/>
    </row>
    <row r="28" spans="1:21" ht="114" x14ac:dyDescent="0.2">
      <c r="A28" s="1262" t="s">
        <v>206</v>
      </c>
      <c r="B28" s="1303" t="s">
        <v>88</v>
      </c>
      <c r="C28" s="535" t="s">
        <v>185</v>
      </c>
      <c r="D28" s="535" t="s">
        <v>420</v>
      </c>
      <c r="E28" s="535" t="s">
        <v>139</v>
      </c>
      <c r="F28" s="535" t="s">
        <v>421</v>
      </c>
      <c r="G28" s="535" t="s">
        <v>150</v>
      </c>
      <c r="H28" s="535" t="s">
        <v>27</v>
      </c>
      <c r="I28" s="1304"/>
      <c r="J28" s="1288" t="s">
        <v>422</v>
      </c>
      <c r="K28" s="1288" t="s">
        <v>423</v>
      </c>
      <c r="L28" s="1288"/>
      <c r="M28" s="1288" t="s">
        <v>151</v>
      </c>
      <c r="N28" s="1288" t="s">
        <v>27</v>
      </c>
      <c r="O28" s="1301"/>
      <c r="P28" s="1290" t="s">
        <v>356</v>
      </c>
      <c r="Q28" s="1009"/>
      <c r="R28" s="1009"/>
      <c r="S28" s="1009"/>
      <c r="T28" s="1009"/>
      <c r="U28" s="1009"/>
    </row>
    <row r="29" spans="1:21" ht="18" hidden="1" customHeight="1" x14ac:dyDescent="0.2">
      <c r="A29" s="1292" t="s">
        <v>400</v>
      </c>
      <c r="B29" s="1292" t="s">
        <v>337</v>
      </c>
      <c r="C29" s="1294" t="s">
        <v>491</v>
      </c>
      <c r="D29" s="1295" t="s">
        <v>492</v>
      </c>
      <c r="E29" s="1294" t="s">
        <v>493</v>
      </c>
      <c r="F29" s="1295" t="s">
        <v>494</v>
      </c>
      <c r="G29" s="1296" t="str">
        <f>IFERROR(D29+F29,"")</f>
        <v/>
      </c>
      <c r="H29" s="1297" t="s">
        <v>495</v>
      </c>
      <c r="I29" s="1305"/>
      <c r="J29" s="1295" t="s">
        <v>496</v>
      </c>
      <c r="K29" s="1295" t="s">
        <v>497</v>
      </c>
      <c r="L29" s="1295"/>
      <c r="M29" s="1296" t="str">
        <f>IFERROR(J29+K29,"")</f>
        <v/>
      </c>
      <c r="N29" s="1306" t="s">
        <v>498</v>
      </c>
      <c r="O29" s="1301"/>
      <c r="P29" s="1290" t="s">
        <v>355</v>
      </c>
      <c r="Q29" s="1009"/>
      <c r="R29" s="1009"/>
      <c r="S29" s="1009"/>
      <c r="T29" s="1009"/>
      <c r="U29" s="1009"/>
    </row>
    <row r="30" spans="1:21" ht="18" customHeight="1" x14ac:dyDescent="0.2">
      <c r="A30" s="1292" t="s">
        <v>1006</v>
      </c>
      <c r="B30" s="1292" t="s">
        <v>1096</v>
      </c>
      <c r="C30" s="1294">
        <v>0</v>
      </c>
      <c r="D30" s="1295">
        <v>267816</v>
      </c>
      <c r="E30" s="1294">
        <v>0</v>
      </c>
      <c r="F30" s="1295"/>
      <c r="G30" s="1296">
        <f t="shared" ref="G30:G34" si="4">IFERROR(D30+F30,"")</f>
        <v>267816</v>
      </c>
      <c r="H30" s="1297"/>
      <c r="I30" s="1305"/>
      <c r="J30" s="1295"/>
      <c r="K30" s="1295"/>
      <c r="L30" s="1295"/>
      <c r="M30" s="1296">
        <f t="shared" ref="M30:M34" si="5">IFERROR(J30+K30,"")</f>
        <v>0</v>
      </c>
      <c r="N30" s="1306"/>
      <c r="O30" s="1301"/>
      <c r="P30" s="1290" t="s">
        <v>1172</v>
      </c>
      <c r="Q30" s="1009"/>
      <c r="R30" s="1009"/>
      <c r="S30" s="1009"/>
      <c r="T30" s="1009"/>
      <c r="U30" s="1009"/>
    </row>
    <row r="31" spans="1:21" ht="18" customHeight="1" x14ac:dyDescent="0.2">
      <c r="A31" s="1292" t="s">
        <v>1012</v>
      </c>
      <c r="B31" s="1292" t="s">
        <v>1094</v>
      </c>
      <c r="C31" s="1294">
        <v>0</v>
      </c>
      <c r="D31" s="1295">
        <v>174799</v>
      </c>
      <c r="E31" s="1294">
        <v>0</v>
      </c>
      <c r="F31" s="1295"/>
      <c r="G31" s="1296">
        <f t="shared" si="4"/>
        <v>174799</v>
      </c>
      <c r="H31" s="1297"/>
      <c r="I31" s="1305"/>
      <c r="J31" s="1295"/>
      <c r="K31" s="1295"/>
      <c r="L31" s="1295"/>
      <c r="M31" s="1296">
        <f t="shared" si="5"/>
        <v>0</v>
      </c>
      <c r="N31" s="1306"/>
      <c r="O31" s="1301"/>
      <c r="P31" s="1290" t="s">
        <v>1173</v>
      </c>
      <c r="Q31" s="1009"/>
      <c r="R31" s="1009"/>
      <c r="S31" s="1009"/>
      <c r="T31" s="1009"/>
      <c r="U31" s="1009"/>
    </row>
    <row r="32" spans="1:21" ht="18" customHeight="1" x14ac:dyDescent="0.2">
      <c r="A32" s="1292" t="s">
        <v>1098</v>
      </c>
      <c r="B32" s="1292" t="s">
        <v>1099</v>
      </c>
      <c r="C32" s="1294">
        <v>71971.733999999997</v>
      </c>
      <c r="D32" s="1295">
        <v>233122</v>
      </c>
      <c r="E32" s="1294">
        <v>0</v>
      </c>
      <c r="F32" s="1295"/>
      <c r="G32" s="1296">
        <f t="shared" si="4"/>
        <v>233122</v>
      </c>
      <c r="H32" s="1297"/>
      <c r="I32" s="1305"/>
      <c r="J32" s="1295"/>
      <c r="K32" s="1295"/>
      <c r="L32" s="1295"/>
      <c r="M32" s="1296">
        <f t="shared" si="5"/>
        <v>0</v>
      </c>
      <c r="N32" s="1306"/>
      <c r="O32" s="1301"/>
      <c r="P32" s="1290" t="s">
        <v>1174</v>
      </c>
      <c r="Q32" s="1009"/>
      <c r="R32" s="1009"/>
      <c r="S32" s="1009"/>
      <c r="T32" s="1009"/>
      <c r="U32" s="1009"/>
    </row>
    <row r="33" spans="1:21" ht="18" customHeight="1" x14ac:dyDescent="0.2">
      <c r="A33" s="1292" t="s">
        <v>1018</v>
      </c>
      <c r="B33" s="1292" t="s">
        <v>1090</v>
      </c>
      <c r="C33" s="1294">
        <v>14064</v>
      </c>
      <c r="D33" s="1295">
        <v>872952</v>
      </c>
      <c r="E33" s="1294">
        <v>0</v>
      </c>
      <c r="F33" s="1295"/>
      <c r="G33" s="1296">
        <f t="shared" si="4"/>
        <v>872952</v>
      </c>
      <c r="H33" s="1297"/>
      <c r="I33" s="1305"/>
      <c r="J33" s="1295"/>
      <c r="K33" s="1295"/>
      <c r="L33" s="1295"/>
      <c r="M33" s="1296">
        <f t="shared" si="5"/>
        <v>0</v>
      </c>
      <c r="N33" s="1306"/>
      <c r="O33" s="1301"/>
      <c r="P33" s="1290" t="s">
        <v>1175</v>
      </c>
      <c r="Q33" s="1009"/>
      <c r="R33" s="1009"/>
      <c r="S33" s="1009"/>
      <c r="T33" s="1009"/>
      <c r="U33" s="1009"/>
    </row>
    <row r="34" spans="1:21" ht="18" customHeight="1" x14ac:dyDescent="0.2">
      <c r="A34" s="1292" t="s">
        <v>1018</v>
      </c>
      <c r="B34" s="1292" t="s">
        <v>1092</v>
      </c>
      <c r="C34" s="1294">
        <v>0</v>
      </c>
      <c r="D34" s="1295">
        <v>0</v>
      </c>
      <c r="E34" s="1294">
        <v>0</v>
      </c>
      <c r="F34" s="1295"/>
      <c r="G34" s="1296">
        <f t="shared" si="4"/>
        <v>0</v>
      </c>
      <c r="H34" s="1297"/>
      <c r="I34" s="1305"/>
      <c r="J34" s="1295"/>
      <c r="K34" s="1295"/>
      <c r="L34" s="1295"/>
      <c r="M34" s="1296">
        <f t="shared" si="5"/>
        <v>0</v>
      </c>
      <c r="N34" s="1306"/>
      <c r="O34" s="1301"/>
      <c r="P34" s="1290" t="s">
        <v>1176</v>
      </c>
      <c r="Q34" s="1009"/>
      <c r="R34" s="1009"/>
      <c r="S34" s="1009"/>
      <c r="T34" s="1009"/>
      <c r="U34" s="1009"/>
    </row>
    <row r="35" spans="1:21" ht="5.25" hidden="1" customHeight="1" x14ac:dyDescent="0.2">
      <c r="A35" s="1344"/>
      <c r="B35" s="1344"/>
      <c r="C35" s="1345"/>
      <c r="D35" s="1346"/>
      <c r="E35" s="1345"/>
      <c r="F35" s="1346"/>
      <c r="G35" s="1346"/>
      <c r="H35" s="1347"/>
      <c r="I35" s="1305"/>
      <c r="J35" s="1348"/>
      <c r="K35" s="1348"/>
      <c r="L35" s="1348"/>
      <c r="M35" s="1348"/>
      <c r="N35" s="1349"/>
      <c r="O35" s="1301"/>
      <c r="P35" s="1290"/>
      <c r="Q35" s="1291"/>
      <c r="R35" s="1291" t="s">
        <v>356</v>
      </c>
      <c r="S35" s="1009"/>
      <c r="T35" s="1009"/>
      <c r="U35" s="1009"/>
    </row>
    <row r="36" spans="1:21" ht="16.5" hidden="1" customHeight="1" x14ac:dyDescent="0.2">
      <c r="A36" s="1350" t="s">
        <v>400</v>
      </c>
      <c r="B36" s="1350" t="s">
        <v>337</v>
      </c>
      <c r="C36" s="1294" t="s">
        <v>491</v>
      </c>
      <c r="D36" s="1295" t="s">
        <v>492</v>
      </c>
      <c r="E36" s="1294" t="s">
        <v>493</v>
      </c>
      <c r="F36" s="1295" t="s">
        <v>494</v>
      </c>
      <c r="G36" s="1296" t="str">
        <f>IFERROR(D36+F36,"")</f>
        <v/>
      </c>
      <c r="H36" s="1297" t="s">
        <v>495</v>
      </c>
      <c r="I36" s="1305"/>
      <c r="J36" s="1295" t="s">
        <v>496</v>
      </c>
      <c r="K36" s="1295" t="s">
        <v>497</v>
      </c>
      <c r="L36" s="1305"/>
      <c r="M36" s="1296" t="str">
        <f>IFERROR(J36+K36,"")</f>
        <v/>
      </c>
      <c r="N36" s="1306" t="s">
        <v>498</v>
      </c>
      <c r="O36" s="1305"/>
      <c r="P36" s="1290" t="str">
        <f>IFERROR(IF(VLOOKUP(A36,'Reference Records'!$B$12:$D$25,3,FALSE)=0,"",VLOOKUP(A36,'Reference Records'!$B$12:$D$25,3,FALSE)),"")</f>
        <v/>
      </c>
      <c r="Q36" s="1291"/>
      <c r="R36" s="1291" t="s">
        <v>355</v>
      </c>
      <c r="S36" s="1009"/>
      <c r="T36" s="1009"/>
      <c r="U36" s="1009"/>
    </row>
    <row r="37" spans="1:21" ht="16.350000000000001" hidden="1" customHeight="1" x14ac:dyDescent="0.2">
      <c r="A37" s="1350"/>
      <c r="B37" s="1350"/>
      <c r="C37" s="1294">
        <v>0</v>
      </c>
      <c r="D37" s="1295"/>
      <c r="E37" s="1294">
        <v>0</v>
      </c>
      <c r="F37" s="1295"/>
      <c r="G37" s="1296">
        <f t="shared" ref="G37:G61" si="6">IFERROR(D37+F37,"")</f>
        <v>0</v>
      </c>
      <c r="H37" s="1297"/>
      <c r="I37" s="1305"/>
      <c r="J37" s="1295"/>
      <c r="K37" s="1295"/>
      <c r="L37" s="1305"/>
      <c r="M37" s="1296">
        <f t="shared" ref="M37:M61" si="7">IFERROR(J37+K37,"")</f>
        <v>0</v>
      </c>
      <c r="N37" s="1306"/>
      <c r="O37" s="1305"/>
      <c r="P37" s="1290" t="str">
        <f>IFERROR(IF(VLOOKUP(A37,'Reference Records'!$B$12:$D$25,3,FALSE)=0,"",VLOOKUP(A37,'Reference Records'!$B$12:$D$25,3,FALSE)),"")</f>
        <v/>
      </c>
      <c r="Q37" s="1291"/>
      <c r="R37" s="1291" t="s">
        <v>1425</v>
      </c>
      <c r="S37" s="1009"/>
      <c r="T37" s="1009"/>
      <c r="U37" s="1009"/>
    </row>
    <row r="38" spans="1:21" ht="16.5" hidden="1" customHeight="1" x14ac:dyDescent="0.2">
      <c r="A38" s="1350"/>
      <c r="B38" s="1350"/>
      <c r="C38" s="1294">
        <v>0</v>
      </c>
      <c r="D38" s="1295"/>
      <c r="E38" s="1294">
        <v>0</v>
      </c>
      <c r="F38" s="1295"/>
      <c r="G38" s="1296">
        <f t="shared" si="6"/>
        <v>0</v>
      </c>
      <c r="H38" s="1297"/>
      <c r="I38" s="1305"/>
      <c r="J38" s="1295"/>
      <c r="K38" s="1295"/>
      <c r="L38" s="1305"/>
      <c r="M38" s="1296">
        <f t="shared" si="7"/>
        <v>0</v>
      </c>
      <c r="N38" s="1306"/>
      <c r="O38" s="1305"/>
      <c r="P38" s="1290" t="str">
        <f>IFERROR(IF(VLOOKUP(A38,'Reference Records'!$B$12:$D$25,3,FALSE)=0,"",VLOOKUP(A38,'Reference Records'!$B$12:$D$25,3,FALSE)),"")</f>
        <v/>
      </c>
      <c r="Q38" s="1291"/>
      <c r="R38" s="1291" t="s">
        <v>1426</v>
      </c>
      <c r="S38" s="1009"/>
      <c r="T38" s="1009"/>
      <c r="U38" s="1009"/>
    </row>
    <row r="39" spans="1:21" ht="16.5" hidden="1" customHeight="1" x14ac:dyDescent="0.2">
      <c r="A39" s="1350"/>
      <c r="B39" s="1350"/>
      <c r="C39" s="1294">
        <v>0</v>
      </c>
      <c r="D39" s="1295"/>
      <c r="E39" s="1294">
        <v>0</v>
      </c>
      <c r="F39" s="1295"/>
      <c r="G39" s="1296">
        <f t="shared" si="6"/>
        <v>0</v>
      </c>
      <c r="H39" s="1297"/>
      <c r="I39" s="1305"/>
      <c r="J39" s="1295"/>
      <c r="K39" s="1295"/>
      <c r="L39" s="1305"/>
      <c r="M39" s="1296">
        <f t="shared" si="7"/>
        <v>0</v>
      </c>
      <c r="N39" s="1306"/>
      <c r="O39" s="1305"/>
      <c r="P39" s="1290" t="str">
        <f>IFERROR(IF(VLOOKUP(A39,'Reference Records'!$B$12:$D$25,3,FALSE)=0,"",VLOOKUP(A39,'Reference Records'!$B$12:$D$25,3,FALSE)),"")</f>
        <v/>
      </c>
      <c r="Q39" s="1291"/>
      <c r="R39" s="1291" t="s">
        <v>1427</v>
      </c>
      <c r="S39" s="1009"/>
      <c r="T39" s="1009"/>
      <c r="U39" s="1009"/>
    </row>
    <row r="40" spans="1:21" ht="16.5" hidden="1" customHeight="1" x14ac:dyDescent="0.2">
      <c r="A40" s="1350"/>
      <c r="B40" s="1350"/>
      <c r="C40" s="1294">
        <v>0</v>
      </c>
      <c r="D40" s="1295"/>
      <c r="E40" s="1294">
        <v>0</v>
      </c>
      <c r="F40" s="1295"/>
      <c r="G40" s="1296">
        <f t="shared" si="6"/>
        <v>0</v>
      </c>
      <c r="H40" s="1297"/>
      <c r="I40" s="1305"/>
      <c r="J40" s="1295"/>
      <c r="K40" s="1295"/>
      <c r="L40" s="1305"/>
      <c r="M40" s="1296">
        <f t="shared" si="7"/>
        <v>0</v>
      </c>
      <c r="N40" s="1306"/>
      <c r="O40" s="1305"/>
      <c r="P40" s="1290" t="str">
        <f>IFERROR(IF(VLOOKUP(A40,'Reference Records'!$B$12:$D$25,3,FALSE)=0,"",VLOOKUP(A40,'Reference Records'!$B$12:$D$25,3,FALSE)),"")</f>
        <v/>
      </c>
      <c r="Q40" s="1291"/>
      <c r="R40" s="1291" t="s">
        <v>1428</v>
      </c>
      <c r="S40" s="1009"/>
      <c r="T40" s="1009"/>
      <c r="U40" s="1009"/>
    </row>
    <row r="41" spans="1:21" ht="16.5" hidden="1" customHeight="1" x14ac:dyDescent="0.2">
      <c r="A41" s="1350"/>
      <c r="B41" s="1350"/>
      <c r="C41" s="1294">
        <v>0</v>
      </c>
      <c r="D41" s="1295"/>
      <c r="E41" s="1294">
        <v>0</v>
      </c>
      <c r="F41" s="1295"/>
      <c r="G41" s="1296">
        <f t="shared" si="6"/>
        <v>0</v>
      </c>
      <c r="H41" s="1297"/>
      <c r="I41" s="1305"/>
      <c r="J41" s="1295"/>
      <c r="K41" s="1295"/>
      <c r="L41" s="1305"/>
      <c r="M41" s="1296">
        <f t="shared" si="7"/>
        <v>0</v>
      </c>
      <c r="N41" s="1306"/>
      <c r="O41" s="1305"/>
      <c r="P41" s="1290" t="str">
        <f>IFERROR(IF(VLOOKUP(A41,'Reference Records'!$B$12:$D$25,3,FALSE)=0,"",VLOOKUP(A41,'Reference Records'!$B$12:$D$25,3,FALSE)),"")</f>
        <v/>
      </c>
      <c r="Q41" s="1291"/>
      <c r="R41" s="1291" t="s">
        <v>1429</v>
      </c>
      <c r="S41" s="1009"/>
      <c r="T41" s="1009"/>
      <c r="U41" s="1009"/>
    </row>
    <row r="42" spans="1:21" ht="16.5" hidden="1" customHeight="1" x14ac:dyDescent="0.2">
      <c r="A42" s="1350"/>
      <c r="B42" s="1350"/>
      <c r="C42" s="1294">
        <v>0</v>
      </c>
      <c r="D42" s="1295"/>
      <c r="E42" s="1294">
        <v>0</v>
      </c>
      <c r="F42" s="1295"/>
      <c r="G42" s="1296">
        <f t="shared" si="6"/>
        <v>0</v>
      </c>
      <c r="H42" s="1297"/>
      <c r="I42" s="1305"/>
      <c r="J42" s="1295"/>
      <c r="K42" s="1295"/>
      <c r="L42" s="1305"/>
      <c r="M42" s="1296">
        <f t="shared" si="7"/>
        <v>0</v>
      </c>
      <c r="N42" s="1306"/>
      <c r="O42" s="1305"/>
      <c r="P42" s="1290" t="str">
        <f>IFERROR(IF(VLOOKUP(A42,'Reference Records'!$B$12:$D$25,3,FALSE)=0,"",VLOOKUP(A42,'Reference Records'!$B$12:$D$25,3,FALSE)),"")</f>
        <v/>
      </c>
      <c r="Q42" s="1291"/>
      <c r="R42" s="1291" t="s">
        <v>1430</v>
      </c>
      <c r="S42" s="1009"/>
      <c r="T42" s="1009"/>
      <c r="U42" s="1009"/>
    </row>
    <row r="43" spans="1:21" ht="16.5" hidden="1" customHeight="1" x14ac:dyDescent="0.2">
      <c r="A43" s="1350"/>
      <c r="B43" s="1350"/>
      <c r="C43" s="1294">
        <v>0</v>
      </c>
      <c r="D43" s="1295"/>
      <c r="E43" s="1294">
        <v>0</v>
      </c>
      <c r="F43" s="1295"/>
      <c r="G43" s="1296">
        <f t="shared" si="6"/>
        <v>0</v>
      </c>
      <c r="H43" s="1297"/>
      <c r="I43" s="1305"/>
      <c r="J43" s="1295"/>
      <c r="K43" s="1295"/>
      <c r="L43" s="1305"/>
      <c r="M43" s="1296">
        <f t="shared" si="7"/>
        <v>0</v>
      </c>
      <c r="N43" s="1306"/>
      <c r="O43" s="1305"/>
      <c r="P43" s="1290" t="str">
        <f>IFERROR(IF(VLOOKUP(A43,'Reference Records'!$B$12:$D$25,3,FALSE)=0,"",VLOOKUP(A43,'Reference Records'!$B$12:$D$25,3,FALSE)),"")</f>
        <v/>
      </c>
      <c r="Q43" s="1291"/>
      <c r="R43" s="1291" t="s">
        <v>1431</v>
      </c>
      <c r="S43" s="1009"/>
      <c r="T43" s="1009"/>
      <c r="U43" s="1009"/>
    </row>
    <row r="44" spans="1:21" ht="16.5" hidden="1" customHeight="1" x14ac:dyDescent="0.2">
      <c r="A44" s="1350"/>
      <c r="B44" s="1350"/>
      <c r="C44" s="1294">
        <v>0</v>
      </c>
      <c r="D44" s="1295"/>
      <c r="E44" s="1294">
        <v>0</v>
      </c>
      <c r="F44" s="1295"/>
      <c r="G44" s="1296">
        <f t="shared" si="6"/>
        <v>0</v>
      </c>
      <c r="H44" s="1297"/>
      <c r="I44" s="1305"/>
      <c r="J44" s="1295"/>
      <c r="K44" s="1295"/>
      <c r="L44" s="1305"/>
      <c r="M44" s="1296">
        <f t="shared" si="7"/>
        <v>0</v>
      </c>
      <c r="N44" s="1306"/>
      <c r="O44" s="1305"/>
      <c r="P44" s="1290" t="str">
        <f>IFERROR(IF(VLOOKUP(A44,'Reference Records'!$B$12:$D$25,3,FALSE)=0,"",VLOOKUP(A44,'Reference Records'!$B$12:$D$25,3,FALSE)),"")</f>
        <v/>
      </c>
      <c r="Q44" s="1291"/>
      <c r="R44" s="1291" t="s">
        <v>1432</v>
      </c>
      <c r="S44" s="1009"/>
      <c r="T44" s="1009"/>
      <c r="U44" s="1009"/>
    </row>
    <row r="45" spans="1:21" ht="16.5" hidden="1" customHeight="1" x14ac:dyDescent="0.2">
      <c r="A45" s="1350"/>
      <c r="B45" s="1350"/>
      <c r="C45" s="1294">
        <v>0</v>
      </c>
      <c r="D45" s="1295"/>
      <c r="E45" s="1294">
        <v>0</v>
      </c>
      <c r="F45" s="1295"/>
      <c r="G45" s="1296">
        <f t="shared" si="6"/>
        <v>0</v>
      </c>
      <c r="H45" s="1297"/>
      <c r="I45" s="1305"/>
      <c r="J45" s="1295"/>
      <c r="K45" s="1295"/>
      <c r="L45" s="1305"/>
      <c r="M45" s="1296">
        <f t="shared" si="7"/>
        <v>0</v>
      </c>
      <c r="N45" s="1306"/>
      <c r="O45" s="1305"/>
      <c r="P45" s="1290" t="str">
        <f>IFERROR(IF(VLOOKUP(A45,'Reference Records'!$B$12:$D$25,3,FALSE)=0,"",VLOOKUP(A45,'Reference Records'!$B$12:$D$25,3,FALSE)),"")</f>
        <v/>
      </c>
      <c r="Q45" s="1291"/>
      <c r="R45" s="1291" t="s">
        <v>1433</v>
      </c>
      <c r="S45" s="1009"/>
      <c r="T45" s="1009"/>
      <c r="U45" s="1009"/>
    </row>
    <row r="46" spans="1:21" ht="16.5" hidden="1" customHeight="1" x14ac:dyDescent="0.2">
      <c r="A46" s="1350"/>
      <c r="B46" s="1350"/>
      <c r="C46" s="1294">
        <v>0</v>
      </c>
      <c r="D46" s="1295"/>
      <c r="E46" s="1294">
        <v>0</v>
      </c>
      <c r="F46" s="1295"/>
      <c r="G46" s="1296">
        <f t="shared" si="6"/>
        <v>0</v>
      </c>
      <c r="H46" s="1297"/>
      <c r="I46" s="1305"/>
      <c r="J46" s="1295"/>
      <c r="K46" s="1295"/>
      <c r="L46" s="1305"/>
      <c r="M46" s="1296">
        <f t="shared" si="7"/>
        <v>0</v>
      </c>
      <c r="N46" s="1306"/>
      <c r="O46" s="1305"/>
      <c r="P46" s="1290" t="str">
        <f>IFERROR(IF(VLOOKUP(A46,'Reference Records'!$B$12:$D$25,3,FALSE)=0,"",VLOOKUP(A46,'Reference Records'!$B$12:$D$25,3,FALSE)),"")</f>
        <v/>
      </c>
      <c r="Q46" s="1291"/>
      <c r="R46" s="1291" t="s">
        <v>1434</v>
      </c>
      <c r="S46" s="1009"/>
      <c r="T46" s="1009"/>
      <c r="U46" s="1009"/>
    </row>
    <row r="47" spans="1:21" ht="16.5" hidden="1" customHeight="1" x14ac:dyDescent="0.2">
      <c r="A47" s="1350"/>
      <c r="B47" s="1350"/>
      <c r="C47" s="1294">
        <v>0</v>
      </c>
      <c r="D47" s="1295"/>
      <c r="E47" s="1294">
        <v>0</v>
      </c>
      <c r="F47" s="1295"/>
      <c r="G47" s="1296">
        <f t="shared" si="6"/>
        <v>0</v>
      </c>
      <c r="H47" s="1297"/>
      <c r="I47" s="1305"/>
      <c r="J47" s="1295"/>
      <c r="K47" s="1295"/>
      <c r="L47" s="1305"/>
      <c r="M47" s="1296">
        <f t="shared" si="7"/>
        <v>0</v>
      </c>
      <c r="N47" s="1306"/>
      <c r="O47" s="1305"/>
      <c r="P47" s="1290" t="str">
        <f>IFERROR(IF(VLOOKUP(A47,'Reference Records'!$B$12:$D$25,3,FALSE)=0,"",VLOOKUP(A47,'Reference Records'!$B$12:$D$25,3,FALSE)),"")</f>
        <v/>
      </c>
      <c r="Q47" s="1291"/>
      <c r="R47" s="1291" t="s">
        <v>1435</v>
      </c>
      <c r="S47" s="1009"/>
      <c r="T47" s="1009"/>
      <c r="U47" s="1009"/>
    </row>
    <row r="48" spans="1:21" ht="16.5" hidden="1" customHeight="1" x14ac:dyDescent="0.2">
      <c r="A48" s="1350"/>
      <c r="B48" s="1350"/>
      <c r="C48" s="1294">
        <v>0</v>
      </c>
      <c r="D48" s="1295"/>
      <c r="E48" s="1294">
        <v>0</v>
      </c>
      <c r="F48" s="1295"/>
      <c r="G48" s="1296">
        <f t="shared" si="6"/>
        <v>0</v>
      </c>
      <c r="H48" s="1297"/>
      <c r="I48" s="1305"/>
      <c r="J48" s="1295"/>
      <c r="K48" s="1295"/>
      <c r="L48" s="1305"/>
      <c r="M48" s="1296">
        <f t="shared" si="7"/>
        <v>0</v>
      </c>
      <c r="N48" s="1306"/>
      <c r="O48" s="1305"/>
      <c r="P48" s="1290" t="str">
        <f>IFERROR(IF(VLOOKUP(A48,'Reference Records'!$B$12:$D$25,3,FALSE)=0,"",VLOOKUP(A48,'Reference Records'!$B$12:$D$25,3,FALSE)),"")</f>
        <v/>
      </c>
      <c r="Q48" s="1291"/>
      <c r="R48" s="1291" t="s">
        <v>1436</v>
      </c>
      <c r="S48" s="1009"/>
      <c r="T48" s="1009"/>
      <c r="U48" s="1009"/>
    </row>
    <row r="49" spans="1:21" ht="16.5" hidden="1" customHeight="1" x14ac:dyDescent="0.2">
      <c r="A49" s="1350"/>
      <c r="B49" s="1350"/>
      <c r="C49" s="1294">
        <v>0</v>
      </c>
      <c r="D49" s="1295"/>
      <c r="E49" s="1294">
        <v>0</v>
      </c>
      <c r="F49" s="1295"/>
      <c r="G49" s="1296">
        <f t="shared" si="6"/>
        <v>0</v>
      </c>
      <c r="H49" s="1297"/>
      <c r="I49" s="1305"/>
      <c r="J49" s="1295"/>
      <c r="K49" s="1295"/>
      <c r="L49" s="1305"/>
      <c r="M49" s="1296">
        <f t="shared" si="7"/>
        <v>0</v>
      </c>
      <c r="N49" s="1306"/>
      <c r="O49" s="1305"/>
      <c r="P49" s="1290" t="str">
        <f>IFERROR(IF(VLOOKUP(A49,'Reference Records'!$B$12:$D$25,3,FALSE)=0,"",VLOOKUP(A49,'Reference Records'!$B$12:$D$25,3,FALSE)),"")</f>
        <v/>
      </c>
      <c r="Q49" s="1291"/>
      <c r="R49" s="1291" t="s">
        <v>1437</v>
      </c>
      <c r="S49" s="1009"/>
      <c r="T49" s="1009"/>
      <c r="U49" s="1009"/>
    </row>
    <row r="50" spans="1:21" ht="16.5" hidden="1" customHeight="1" x14ac:dyDescent="0.2">
      <c r="A50" s="1350"/>
      <c r="B50" s="1350"/>
      <c r="C50" s="1294">
        <v>0</v>
      </c>
      <c r="D50" s="1295"/>
      <c r="E50" s="1294">
        <v>0</v>
      </c>
      <c r="F50" s="1295"/>
      <c r="G50" s="1296">
        <f t="shared" si="6"/>
        <v>0</v>
      </c>
      <c r="H50" s="1297"/>
      <c r="I50" s="1305"/>
      <c r="J50" s="1295"/>
      <c r="K50" s="1295"/>
      <c r="L50" s="1305"/>
      <c r="M50" s="1296">
        <f t="shared" si="7"/>
        <v>0</v>
      </c>
      <c r="N50" s="1306"/>
      <c r="O50" s="1305"/>
      <c r="P50" s="1290" t="str">
        <f>IFERROR(IF(VLOOKUP(A50,'Reference Records'!$B$12:$D$25,3,FALSE)=0,"",VLOOKUP(A50,'Reference Records'!$B$12:$D$25,3,FALSE)),"")</f>
        <v/>
      </c>
      <c r="Q50" s="1291"/>
      <c r="R50" s="1291" t="s">
        <v>1438</v>
      </c>
      <c r="S50" s="1009"/>
      <c r="T50" s="1009"/>
      <c r="U50" s="1009"/>
    </row>
    <row r="51" spans="1:21" ht="16.5" hidden="1" customHeight="1" x14ac:dyDescent="0.2">
      <c r="A51" s="1350"/>
      <c r="B51" s="1350"/>
      <c r="C51" s="1294">
        <v>0</v>
      </c>
      <c r="D51" s="1295"/>
      <c r="E51" s="1294">
        <v>0</v>
      </c>
      <c r="F51" s="1295"/>
      <c r="G51" s="1296">
        <f t="shared" si="6"/>
        <v>0</v>
      </c>
      <c r="H51" s="1297"/>
      <c r="I51" s="1305"/>
      <c r="J51" s="1295"/>
      <c r="K51" s="1295"/>
      <c r="L51" s="1305"/>
      <c r="M51" s="1296">
        <f t="shared" si="7"/>
        <v>0</v>
      </c>
      <c r="N51" s="1306"/>
      <c r="O51" s="1305"/>
      <c r="P51" s="1290" t="str">
        <f>IFERROR(IF(VLOOKUP(A51,'Reference Records'!$B$12:$D$25,3,FALSE)=0,"",VLOOKUP(A51,'Reference Records'!$B$12:$D$25,3,FALSE)),"")</f>
        <v/>
      </c>
      <c r="Q51" s="1291"/>
      <c r="R51" s="1291" t="s">
        <v>1439</v>
      </c>
      <c r="S51" s="1009"/>
      <c r="T51" s="1009"/>
      <c r="U51" s="1009"/>
    </row>
    <row r="52" spans="1:21" ht="16.5" hidden="1" customHeight="1" x14ac:dyDescent="0.2">
      <c r="A52" s="1350"/>
      <c r="B52" s="1350"/>
      <c r="C52" s="1294">
        <v>0</v>
      </c>
      <c r="D52" s="1295"/>
      <c r="E52" s="1294">
        <v>0</v>
      </c>
      <c r="F52" s="1295"/>
      <c r="G52" s="1296">
        <f t="shared" si="6"/>
        <v>0</v>
      </c>
      <c r="H52" s="1297"/>
      <c r="I52" s="1305"/>
      <c r="J52" s="1295"/>
      <c r="K52" s="1295"/>
      <c r="L52" s="1305"/>
      <c r="M52" s="1296">
        <f t="shared" si="7"/>
        <v>0</v>
      </c>
      <c r="N52" s="1306"/>
      <c r="O52" s="1305"/>
      <c r="P52" s="1290" t="str">
        <f>IFERROR(IF(VLOOKUP(A52,'Reference Records'!$B$12:$D$25,3,FALSE)=0,"",VLOOKUP(A52,'Reference Records'!$B$12:$D$25,3,FALSE)),"")</f>
        <v/>
      </c>
      <c r="Q52" s="1291"/>
      <c r="R52" s="1291" t="s">
        <v>1440</v>
      </c>
      <c r="S52" s="1009"/>
      <c r="T52" s="1009"/>
      <c r="U52" s="1009"/>
    </row>
    <row r="53" spans="1:21" ht="16.5" hidden="1" customHeight="1" x14ac:dyDescent="0.2">
      <c r="A53" s="1350"/>
      <c r="B53" s="1350"/>
      <c r="C53" s="1294">
        <v>0</v>
      </c>
      <c r="D53" s="1295"/>
      <c r="E53" s="1294">
        <v>0</v>
      </c>
      <c r="F53" s="1295"/>
      <c r="G53" s="1296">
        <f t="shared" si="6"/>
        <v>0</v>
      </c>
      <c r="H53" s="1297"/>
      <c r="I53" s="1305"/>
      <c r="J53" s="1295"/>
      <c r="K53" s="1295"/>
      <c r="L53" s="1305"/>
      <c r="M53" s="1296">
        <f t="shared" si="7"/>
        <v>0</v>
      </c>
      <c r="N53" s="1306"/>
      <c r="O53" s="1305"/>
      <c r="P53" s="1290" t="str">
        <f>IFERROR(IF(VLOOKUP(A53,'Reference Records'!$B$12:$D$25,3,FALSE)=0,"",VLOOKUP(A53,'Reference Records'!$B$12:$D$25,3,FALSE)),"")</f>
        <v/>
      </c>
      <c r="Q53" s="1291"/>
      <c r="R53" s="1291" t="s">
        <v>1441</v>
      </c>
      <c r="S53" s="1009"/>
      <c r="T53" s="1009"/>
      <c r="U53" s="1009"/>
    </row>
    <row r="54" spans="1:21" ht="16.5" hidden="1" customHeight="1" x14ac:dyDescent="0.2">
      <c r="A54" s="1350"/>
      <c r="B54" s="1350"/>
      <c r="C54" s="1294">
        <v>0</v>
      </c>
      <c r="D54" s="1295"/>
      <c r="E54" s="1294">
        <v>0</v>
      </c>
      <c r="F54" s="1295"/>
      <c r="G54" s="1296">
        <f t="shared" si="6"/>
        <v>0</v>
      </c>
      <c r="H54" s="1297"/>
      <c r="I54" s="1305"/>
      <c r="J54" s="1295"/>
      <c r="K54" s="1295"/>
      <c r="L54" s="1305"/>
      <c r="M54" s="1296">
        <f t="shared" si="7"/>
        <v>0</v>
      </c>
      <c r="N54" s="1306"/>
      <c r="O54" s="1305"/>
      <c r="P54" s="1290" t="str">
        <f>IFERROR(IF(VLOOKUP(A54,'Reference Records'!$B$12:$D$25,3,FALSE)=0,"",VLOOKUP(A54,'Reference Records'!$B$12:$D$25,3,FALSE)),"")</f>
        <v/>
      </c>
      <c r="Q54" s="1291"/>
      <c r="R54" s="1291" t="s">
        <v>1442</v>
      </c>
      <c r="S54" s="1009"/>
      <c r="T54" s="1009"/>
      <c r="U54" s="1009"/>
    </row>
    <row r="55" spans="1:21" ht="16.5" hidden="1" customHeight="1" x14ac:dyDescent="0.2">
      <c r="A55" s="1350"/>
      <c r="B55" s="1350"/>
      <c r="C55" s="1294">
        <v>0</v>
      </c>
      <c r="D55" s="1295"/>
      <c r="E55" s="1294">
        <v>0</v>
      </c>
      <c r="F55" s="1295"/>
      <c r="G55" s="1296">
        <f t="shared" si="6"/>
        <v>0</v>
      </c>
      <c r="H55" s="1297"/>
      <c r="I55" s="1305"/>
      <c r="J55" s="1295"/>
      <c r="K55" s="1295"/>
      <c r="L55" s="1305"/>
      <c r="M55" s="1296">
        <f t="shared" si="7"/>
        <v>0</v>
      </c>
      <c r="N55" s="1306"/>
      <c r="O55" s="1305"/>
      <c r="P55" s="1290" t="str">
        <f>IFERROR(IF(VLOOKUP(A55,'Reference Records'!$B$12:$D$25,3,FALSE)=0,"",VLOOKUP(A55,'Reference Records'!$B$12:$D$25,3,FALSE)),"")</f>
        <v/>
      </c>
      <c r="Q55" s="1291"/>
      <c r="R55" s="1291" t="s">
        <v>1443</v>
      </c>
      <c r="S55" s="1009"/>
      <c r="T55" s="1009"/>
      <c r="U55" s="1009"/>
    </row>
    <row r="56" spans="1:21" ht="16.5" hidden="1" customHeight="1" x14ac:dyDescent="0.2">
      <c r="A56" s="1350"/>
      <c r="B56" s="1350"/>
      <c r="C56" s="1294">
        <v>0</v>
      </c>
      <c r="D56" s="1295"/>
      <c r="E56" s="1294">
        <v>0</v>
      </c>
      <c r="F56" s="1295"/>
      <c r="G56" s="1296">
        <f t="shared" si="6"/>
        <v>0</v>
      </c>
      <c r="H56" s="1297"/>
      <c r="I56" s="1305"/>
      <c r="J56" s="1295"/>
      <c r="K56" s="1295"/>
      <c r="L56" s="1305"/>
      <c r="M56" s="1296">
        <f t="shared" si="7"/>
        <v>0</v>
      </c>
      <c r="N56" s="1306"/>
      <c r="O56" s="1305"/>
      <c r="P56" s="1290" t="str">
        <f>IFERROR(IF(VLOOKUP(A56,'Reference Records'!$B$12:$D$25,3,FALSE)=0,"",VLOOKUP(A56,'Reference Records'!$B$12:$D$25,3,FALSE)),"")</f>
        <v/>
      </c>
      <c r="Q56" s="1291"/>
      <c r="R56" s="1291" t="s">
        <v>1444</v>
      </c>
      <c r="S56" s="1009"/>
      <c r="T56" s="1009"/>
      <c r="U56" s="1009"/>
    </row>
    <row r="57" spans="1:21" ht="16.5" hidden="1" customHeight="1" x14ac:dyDescent="0.2">
      <c r="A57" s="1350"/>
      <c r="B57" s="1350"/>
      <c r="C57" s="1294">
        <v>0</v>
      </c>
      <c r="D57" s="1295"/>
      <c r="E57" s="1294">
        <v>0</v>
      </c>
      <c r="F57" s="1295"/>
      <c r="G57" s="1296">
        <f t="shared" si="6"/>
        <v>0</v>
      </c>
      <c r="H57" s="1297"/>
      <c r="I57" s="1305"/>
      <c r="J57" s="1295"/>
      <c r="K57" s="1295"/>
      <c r="L57" s="1305"/>
      <c r="M57" s="1296">
        <f t="shared" si="7"/>
        <v>0</v>
      </c>
      <c r="N57" s="1306"/>
      <c r="O57" s="1305"/>
      <c r="P57" s="1290" t="str">
        <f>IFERROR(IF(VLOOKUP(A57,'Reference Records'!$B$12:$D$25,3,FALSE)=0,"",VLOOKUP(A57,'Reference Records'!$B$12:$D$25,3,FALSE)),"")</f>
        <v/>
      </c>
      <c r="Q57" s="1291"/>
      <c r="R57" s="1291" t="s">
        <v>1445</v>
      </c>
      <c r="S57" s="1009"/>
      <c r="T57" s="1009"/>
      <c r="U57" s="1009"/>
    </row>
    <row r="58" spans="1:21" ht="16.5" hidden="1" customHeight="1" x14ac:dyDescent="0.2">
      <c r="A58" s="1350"/>
      <c r="B58" s="1350"/>
      <c r="C58" s="1294">
        <v>0</v>
      </c>
      <c r="D58" s="1295"/>
      <c r="E58" s="1294">
        <v>0</v>
      </c>
      <c r="F58" s="1295"/>
      <c r="G58" s="1296">
        <f t="shared" si="6"/>
        <v>0</v>
      </c>
      <c r="H58" s="1297"/>
      <c r="I58" s="1305"/>
      <c r="J58" s="1295"/>
      <c r="K58" s="1295"/>
      <c r="L58" s="1305"/>
      <c r="M58" s="1296">
        <f t="shared" si="7"/>
        <v>0</v>
      </c>
      <c r="N58" s="1306"/>
      <c r="O58" s="1305"/>
      <c r="P58" s="1290" t="str">
        <f>IFERROR(IF(VLOOKUP(A58,'Reference Records'!$B$12:$D$25,3,FALSE)=0,"",VLOOKUP(A58,'Reference Records'!$B$12:$D$25,3,FALSE)),"")</f>
        <v/>
      </c>
      <c r="Q58" s="1291"/>
      <c r="R58" s="1291" t="s">
        <v>1446</v>
      </c>
      <c r="S58" s="1009"/>
      <c r="T58" s="1009"/>
      <c r="U58" s="1009"/>
    </row>
    <row r="59" spans="1:21" ht="16.5" hidden="1" customHeight="1" x14ac:dyDescent="0.2">
      <c r="A59" s="1350"/>
      <c r="B59" s="1350"/>
      <c r="C59" s="1294">
        <v>0</v>
      </c>
      <c r="D59" s="1295"/>
      <c r="E59" s="1294">
        <v>0</v>
      </c>
      <c r="F59" s="1295"/>
      <c r="G59" s="1296">
        <f t="shared" si="6"/>
        <v>0</v>
      </c>
      <c r="H59" s="1297"/>
      <c r="I59" s="1305"/>
      <c r="J59" s="1295"/>
      <c r="K59" s="1295"/>
      <c r="L59" s="1305"/>
      <c r="M59" s="1296">
        <f t="shared" si="7"/>
        <v>0</v>
      </c>
      <c r="N59" s="1306"/>
      <c r="O59" s="1305"/>
      <c r="P59" s="1290" t="str">
        <f>IFERROR(IF(VLOOKUP(A59,'Reference Records'!$B$12:$D$25,3,FALSE)=0,"",VLOOKUP(A59,'Reference Records'!$B$12:$D$25,3,FALSE)),"")</f>
        <v/>
      </c>
      <c r="Q59" s="1291"/>
      <c r="R59" s="1291" t="s">
        <v>1447</v>
      </c>
      <c r="S59" s="1009"/>
      <c r="T59" s="1009"/>
      <c r="U59" s="1009"/>
    </row>
    <row r="60" spans="1:21" ht="16.5" hidden="1" customHeight="1" x14ac:dyDescent="0.2">
      <c r="A60" s="1350"/>
      <c r="B60" s="1350"/>
      <c r="C60" s="1294">
        <v>0</v>
      </c>
      <c r="D60" s="1295"/>
      <c r="E60" s="1294">
        <v>0</v>
      </c>
      <c r="F60" s="1295"/>
      <c r="G60" s="1296">
        <f t="shared" si="6"/>
        <v>0</v>
      </c>
      <c r="H60" s="1297"/>
      <c r="I60" s="1305"/>
      <c r="J60" s="1295"/>
      <c r="K60" s="1295"/>
      <c r="L60" s="1305"/>
      <c r="M60" s="1296">
        <f t="shared" si="7"/>
        <v>0</v>
      </c>
      <c r="N60" s="1306"/>
      <c r="O60" s="1305"/>
      <c r="P60" s="1290" t="str">
        <f>IFERROR(IF(VLOOKUP(A60,'Reference Records'!$B$12:$D$25,3,FALSE)=0,"",VLOOKUP(A60,'Reference Records'!$B$12:$D$25,3,FALSE)),"")</f>
        <v/>
      </c>
      <c r="Q60" s="1291"/>
      <c r="R60" s="1291" t="s">
        <v>1448</v>
      </c>
      <c r="S60" s="1009"/>
      <c r="T60" s="1009"/>
      <c r="U60" s="1009"/>
    </row>
    <row r="61" spans="1:21" ht="16.5" hidden="1" customHeight="1" x14ac:dyDescent="0.2">
      <c r="A61" s="1350"/>
      <c r="B61" s="1350"/>
      <c r="C61" s="1294">
        <v>0</v>
      </c>
      <c r="D61" s="1295"/>
      <c r="E61" s="1294">
        <v>0</v>
      </c>
      <c r="F61" s="1295"/>
      <c r="G61" s="1296">
        <f t="shared" si="6"/>
        <v>0</v>
      </c>
      <c r="H61" s="1297"/>
      <c r="I61" s="1305"/>
      <c r="J61" s="1295"/>
      <c r="K61" s="1295"/>
      <c r="L61" s="1305"/>
      <c r="M61" s="1296">
        <f t="shared" si="7"/>
        <v>0</v>
      </c>
      <c r="N61" s="1306"/>
      <c r="O61" s="1305"/>
      <c r="P61" s="1290" t="str">
        <f>IFERROR(IF(VLOOKUP(A61,'Reference Records'!$B$12:$D$25,3,FALSE)=0,"",VLOOKUP(A61,'Reference Records'!$B$12:$D$25,3,FALSE)),"")</f>
        <v/>
      </c>
      <c r="Q61" s="1291"/>
      <c r="R61" s="1291" t="s">
        <v>1449</v>
      </c>
      <c r="S61" s="1009"/>
      <c r="T61" s="1009"/>
      <c r="U61" s="1009"/>
    </row>
    <row r="62" spans="1:21" hidden="1" x14ac:dyDescent="0.2">
      <c r="P62" s="1007"/>
      <c r="Q62" s="1009"/>
      <c r="R62" s="1009"/>
      <c r="S62" s="1009"/>
      <c r="T62" s="1009"/>
      <c r="U62" s="1009"/>
    </row>
    <row r="63" spans="1:21" ht="25.5" customHeight="1" x14ac:dyDescent="0.2">
      <c r="A63" s="796" t="s">
        <v>86</v>
      </c>
      <c r="B63" s="796"/>
      <c r="C63" s="791">
        <f>ROUND(SUM(C29:C62),2)</f>
        <v>86035.73</v>
      </c>
      <c r="D63" s="791">
        <f>ROUND(SUM(D29:D62),2)</f>
        <v>1548689</v>
      </c>
      <c r="E63" s="791">
        <f>ROUND(SUM(E29:E62),2)</f>
        <v>0</v>
      </c>
      <c r="F63" s="791">
        <f>ROUND(SUM(F29:F62),2)</f>
        <v>0</v>
      </c>
      <c r="G63" s="791">
        <f>ROUND(SUM(G29:G62),2)</f>
        <v>1548689</v>
      </c>
      <c r="H63" s="792"/>
      <c r="J63" s="791">
        <f>ROUND(SUM(J29:J62),2)</f>
        <v>0</v>
      </c>
      <c r="K63" s="791">
        <f>ROUND(SUM(K29:K62),2)</f>
        <v>0</v>
      </c>
      <c r="L63" s="791">
        <f>ROUND(SUM(L29:L35),2)</f>
        <v>0</v>
      </c>
      <c r="M63" s="791">
        <f>ROUND(SUM(M29:M62),2)</f>
        <v>0</v>
      </c>
      <c r="N63" s="792"/>
      <c r="P63" s="1007"/>
      <c r="Q63" s="1009"/>
      <c r="R63" s="1009"/>
      <c r="S63" s="1009"/>
      <c r="T63" s="1009"/>
      <c r="U63" s="1009"/>
    </row>
    <row r="64" spans="1:21" ht="18" x14ac:dyDescent="0.2">
      <c r="A64" s="999"/>
      <c r="B64" s="754"/>
      <c r="C64" s="754"/>
      <c r="D64" s="754"/>
      <c r="E64" s="754"/>
      <c r="F64" s="754"/>
      <c r="G64" s="754"/>
      <c r="H64" s="754"/>
      <c r="P64" s="1007"/>
      <c r="Q64" s="1009"/>
      <c r="R64" s="1009"/>
      <c r="S64" s="1009"/>
      <c r="T64" s="1009"/>
      <c r="U64" s="1009"/>
    </row>
    <row r="65" spans="1:21" ht="17.25" customHeight="1" x14ac:dyDescent="0.2">
      <c r="A65" s="113" t="s">
        <v>579</v>
      </c>
      <c r="B65" s="113"/>
      <c r="C65" s="110"/>
      <c r="D65" s="110"/>
      <c r="E65" s="110"/>
      <c r="F65" s="111"/>
      <c r="G65" s="112"/>
      <c r="H65" s="112"/>
      <c r="I65" s="148"/>
      <c r="J65" s="112"/>
      <c r="K65" s="112"/>
      <c r="L65" s="112"/>
      <c r="M65" s="112"/>
      <c r="N65" s="112"/>
      <c r="P65" s="1007"/>
      <c r="Q65" s="1009"/>
      <c r="R65" s="1009"/>
      <c r="S65" s="1009"/>
      <c r="T65" s="1009"/>
      <c r="U65" s="1009"/>
    </row>
    <row r="66" spans="1:21" ht="75" customHeight="1" x14ac:dyDescent="0.2">
      <c r="A66" s="1262" t="s">
        <v>402</v>
      </c>
      <c r="B66" s="1307"/>
      <c r="C66" s="535" t="s">
        <v>185</v>
      </c>
      <c r="D66" s="535" t="s">
        <v>420</v>
      </c>
      <c r="E66" s="535" t="s">
        <v>139</v>
      </c>
      <c r="F66" s="535" t="s">
        <v>421</v>
      </c>
      <c r="G66" s="535" t="s">
        <v>150</v>
      </c>
      <c r="H66" s="535" t="s">
        <v>27</v>
      </c>
      <c r="I66" s="1305"/>
      <c r="J66" s="1288" t="s">
        <v>422</v>
      </c>
      <c r="K66" s="1288" t="s">
        <v>423</v>
      </c>
      <c r="L66" s="1288"/>
      <c r="M66" s="1288" t="s">
        <v>151</v>
      </c>
      <c r="N66" s="1288" t="s">
        <v>27</v>
      </c>
      <c r="O66" s="1301"/>
      <c r="P66" s="1290" t="s">
        <v>356</v>
      </c>
      <c r="Q66" s="1009"/>
      <c r="R66" s="1009"/>
      <c r="S66" s="1009"/>
      <c r="T66" s="1009"/>
      <c r="U66" s="1009"/>
    </row>
    <row r="67" spans="1:21" ht="17.25" hidden="1" customHeight="1" x14ac:dyDescent="0.2">
      <c r="A67" s="1292" t="s">
        <v>415</v>
      </c>
      <c r="B67" s="1308"/>
      <c r="C67" s="1294" t="s">
        <v>491</v>
      </c>
      <c r="D67" s="1295" t="s">
        <v>492</v>
      </c>
      <c r="E67" s="1294" t="s">
        <v>493</v>
      </c>
      <c r="F67" s="1295" t="s">
        <v>494</v>
      </c>
      <c r="G67" s="1296" t="str">
        <f>IFERROR(D67+F67,"")</f>
        <v/>
      </c>
      <c r="H67" s="1297" t="s">
        <v>495</v>
      </c>
      <c r="I67" s="1305"/>
      <c r="J67" s="1295" t="s">
        <v>496</v>
      </c>
      <c r="K67" s="1295" t="s">
        <v>497</v>
      </c>
      <c r="L67" s="1295"/>
      <c r="M67" s="1296" t="str">
        <f>IFERROR(J67+K67,"")</f>
        <v/>
      </c>
      <c r="N67" s="1306" t="s">
        <v>498</v>
      </c>
      <c r="O67" s="1301"/>
      <c r="P67" s="1290" t="s">
        <v>355</v>
      </c>
      <c r="Q67" s="1009"/>
      <c r="R67" s="1009"/>
      <c r="S67" s="1009"/>
      <c r="T67" s="1009"/>
      <c r="U67" s="1009"/>
    </row>
    <row r="68" spans="1:21" ht="17.25" customHeight="1" x14ac:dyDescent="0.2">
      <c r="A68" s="1292" t="s">
        <v>1101</v>
      </c>
      <c r="B68" s="1308"/>
      <c r="C68" s="1294">
        <v>0</v>
      </c>
      <c r="D68" s="1295">
        <v>77315</v>
      </c>
      <c r="E68" s="1294">
        <v>0</v>
      </c>
      <c r="F68" s="1295"/>
      <c r="G68" s="1296">
        <f t="shared" ref="G68:G75" si="8">IFERROR(D68+F68,"")</f>
        <v>77315</v>
      </c>
      <c r="H68" s="1297"/>
      <c r="I68" s="1305"/>
      <c r="J68" s="1295"/>
      <c r="K68" s="1295"/>
      <c r="L68" s="1295"/>
      <c r="M68" s="1296">
        <f t="shared" ref="M68:M75" si="9">IFERROR(J68+K68,"")</f>
        <v>0</v>
      </c>
      <c r="N68" s="1306"/>
      <c r="O68" s="1301"/>
      <c r="P68" s="1290" t="s">
        <v>1177</v>
      </c>
      <c r="Q68" s="1009"/>
      <c r="R68" s="1009"/>
      <c r="S68" s="1009"/>
      <c r="T68" s="1009"/>
      <c r="U68" s="1009"/>
    </row>
    <row r="69" spans="1:21" ht="17.25" customHeight="1" x14ac:dyDescent="0.2">
      <c r="A69" s="1292" t="s">
        <v>1104</v>
      </c>
      <c r="B69" s="1308"/>
      <c r="C69" s="1294">
        <v>0</v>
      </c>
      <c r="D69" s="1295">
        <v>190428</v>
      </c>
      <c r="E69" s="1294">
        <v>0</v>
      </c>
      <c r="F69" s="1295"/>
      <c r="G69" s="1296">
        <f t="shared" si="8"/>
        <v>190428</v>
      </c>
      <c r="H69" s="1297"/>
      <c r="I69" s="1305"/>
      <c r="J69" s="1295"/>
      <c r="K69" s="1295"/>
      <c r="L69" s="1295"/>
      <c r="M69" s="1296">
        <f t="shared" si="9"/>
        <v>0</v>
      </c>
      <c r="N69" s="1306"/>
      <c r="O69" s="1301"/>
      <c r="P69" s="1290" t="s">
        <v>1178</v>
      </c>
      <c r="Q69" s="1009"/>
      <c r="R69" s="1009"/>
      <c r="S69" s="1009"/>
      <c r="T69" s="1009"/>
      <c r="U69" s="1009"/>
    </row>
    <row r="70" spans="1:21" ht="17.25" customHeight="1" x14ac:dyDescent="0.2">
      <c r="A70" s="1292" t="s">
        <v>1106</v>
      </c>
      <c r="B70" s="1308"/>
      <c r="C70" s="1294">
        <v>0</v>
      </c>
      <c r="D70" s="1295">
        <v>134096</v>
      </c>
      <c r="E70" s="1294">
        <v>0</v>
      </c>
      <c r="F70" s="1295"/>
      <c r="G70" s="1296">
        <f t="shared" si="8"/>
        <v>134096</v>
      </c>
      <c r="H70" s="1297"/>
      <c r="I70" s="1305"/>
      <c r="J70" s="1295"/>
      <c r="K70" s="1295"/>
      <c r="L70" s="1295"/>
      <c r="M70" s="1296">
        <f t="shared" si="9"/>
        <v>0</v>
      </c>
      <c r="N70" s="1306"/>
      <c r="O70" s="1301"/>
      <c r="P70" s="1290" t="s">
        <v>1179</v>
      </c>
      <c r="Q70" s="1009"/>
      <c r="R70" s="1009"/>
      <c r="S70" s="1009"/>
      <c r="T70" s="1009"/>
      <c r="U70" s="1009"/>
    </row>
    <row r="71" spans="1:21" ht="17.25" customHeight="1" x14ac:dyDescent="0.2">
      <c r="A71" s="1292" t="s">
        <v>1108</v>
      </c>
      <c r="B71" s="1308"/>
      <c r="C71" s="1294">
        <v>0</v>
      </c>
      <c r="D71" s="1295">
        <v>48591</v>
      </c>
      <c r="E71" s="1294">
        <v>0</v>
      </c>
      <c r="F71" s="1295"/>
      <c r="G71" s="1296">
        <f t="shared" si="8"/>
        <v>48591</v>
      </c>
      <c r="H71" s="1297"/>
      <c r="I71" s="1305"/>
      <c r="J71" s="1295"/>
      <c r="K71" s="1295"/>
      <c r="L71" s="1295"/>
      <c r="M71" s="1296">
        <f t="shared" si="9"/>
        <v>0</v>
      </c>
      <c r="N71" s="1306"/>
      <c r="O71" s="1301"/>
      <c r="P71" s="1290" t="s">
        <v>1180</v>
      </c>
      <c r="Q71" s="1009"/>
      <c r="R71" s="1009"/>
      <c r="S71" s="1009"/>
      <c r="T71" s="1009"/>
      <c r="U71" s="1009"/>
    </row>
    <row r="72" spans="1:21" ht="17.25" customHeight="1" x14ac:dyDescent="0.2">
      <c r="A72" s="1292" t="s">
        <v>1110</v>
      </c>
      <c r="B72" s="1308"/>
      <c r="C72" s="1294">
        <v>0</v>
      </c>
      <c r="D72" s="1295">
        <v>55229</v>
      </c>
      <c r="E72" s="1294">
        <v>0</v>
      </c>
      <c r="F72" s="1295"/>
      <c r="G72" s="1296">
        <f t="shared" si="8"/>
        <v>55229</v>
      </c>
      <c r="H72" s="1297"/>
      <c r="I72" s="1305"/>
      <c r="J72" s="1295"/>
      <c r="K72" s="1295"/>
      <c r="L72" s="1295"/>
      <c r="M72" s="1296">
        <f t="shared" si="9"/>
        <v>0</v>
      </c>
      <c r="N72" s="1306"/>
      <c r="O72" s="1301"/>
      <c r="P72" s="1290" t="s">
        <v>1181</v>
      </c>
      <c r="Q72" s="1009"/>
      <c r="R72" s="1009"/>
      <c r="S72" s="1009"/>
      <c r="T72" s="1009"/>
      <c r="U72" s="1009"/>
    </row>
    <row r="73" spans="1:21" ht="17.25" customHeight="1" x14ac:dyDescent="0.2">
      <c r="A73" s="1292" t="s">
        <v>964</v>
      </c>
      <c r="B73" s="1308"/>
      <c r="C73" s="1294">
        <v>86035.733999999997</v>
      </c>
      <c r="D73" s="1295">
        <v>688815</v>
      </c>
      <c r="E73" s="1294">
        <v>0</v>
      </c>
      <c r="F73" s="1295"/>
      <c r="G73" s="1296">
        <f t="shared" si="8"/>
        <v>688815</v>
      </c>
      <c r="H73" s="1297"/>
      <c r="I73" s="1305"/>
      <c r="J73" s="1295"/>
      <c r="K73" s="1295"/>
      <c r="L73" s="1295"/>
      <c r="M73" s="1296">
        <f t="shared" si="9"/>
        <v>0</v>
      </c>
      <c r="N73" s="1306"/>
      <c r="O73" s="1301"/>
      <c r="P73" s="1290" t="s">
        <v>1182</v>
      </c>
      <c r="Q73" s="1009"/>
      <c r="R73" s="1009"/>
      <c r="S73" s="1009"/>
      <c r="T73" s="1009"/>
      <c r="U73" s="1009"/>
    </row>
    <row r="74" spans="1:21" ht="17.25" customHeight="1" x14ac:dyDescent="0.2">
      <c r="A74" s="1292" t="s">
        <v>1114</v>
      </c>
      <c r="B74" s="1308"/>
      <c r="C74" s="1294">
        <v>0</v>
      </c>
      <c r="D74" s="1295">
        <v>0</v>
      </c>
      <c r="E74" s="1294">
        <v>0</v>
      </c>
      <c r="F74" s="1295"/>
      <c r="G74" s="1296">
        <f t="shared" si="8"/>
        <v>0</v>
      </c>
      <c r="H74" s="1297"/>
      <c r="I74" s="1305"/>
      <c r="J74" s="1295"/>
      <c r="K74" s="1295"/>
      <c r="L74" s="1295"/>
      <c r="M74" s="1296">
        <f t="shared" si="9"/>
        <v>0</v>
      </c>
      <c r="N74" s="1306"/>
      <c r="O74" s="1301"/>
      <c r="P74" s="1290" t="s">
        <v>1183</v>
      </c>
      <c r="Q74" s="1009"/>
      <c r="R74" s="1009"/>
      <c r="S74" s="1009"/>
      <c r="T74" s="1009"/>
      <c r="U74" s="1009"/>
    </row>
    <row r="75" spans="1:21" ht="17.25" customHeight="1" x14ac:dyDescent="0.2">
      <c r="A75" s="1292" t="s">
        <v>1116</v>
      </c>
      <c r="B75" s="1308"/>
      <c r="C75" s="1294">
        <v>0</v>
      </c>
      <c r="D75" s="1295">
        <f>354215</f>
        <v>354215</v>
      </c>
      <c r="E75" s="1294">
        <v>0</v>
      </c>
      <c r="F75" s="1295"/>
      <c r="G75" s="1296">
        <f t="shared" si="8"/>
        <v>354215</v>
      </c>
      <c r="H75" s="1297"/>
      <c r="I75" s="1305"/>
      <c r="J75" s="1295"/>
      <c r="K75" s="1295"/>
      <c r="L75" s="1295"/>
      <c r="M75" s="1296">
        <f t="shared" si="9"/>
        <v>0</v>
      </c>
      <c r="N75" s="1306"/>
      <c r="O75" s="1301"/>
      <c r="P75" s="1290" t="s">
        <v>1184</v>
      </c>
      <c r="Q75" s="1009"/>
      <c r="R75" s="1009"/>
      <c r="S75" s="1009"/>
      <c r="T75" s="1009"/>
      <c r="U75" s="1009"/>
    </row>
    <row r="76" spans="1:21" ht="21" customHeight="1" x14ac:dyDescent="0.2">
      <c r="P76" s="1007"/>
      <c r="Q76" s="1009"/>
      <c r="R76" s="1009"/>
      <c r="S76" s="1009"/>
      <c r="T76" s="1009"/>
      <c r="U76" s="1009"/>
    </row>
    <row r="77" spans="1:21" ht="27.75" customHeight="1" thickBot="1" x14ac:dyDescent="0.25">
      <c r="A77" s="801" t="s">
        <v>86</v>
      </c>
      <c r="B77" s="801"/>
      <c r="C77" s="802">
        <f>ROUND(SUM(C67:C76),2)</f>
        <v>86035.73</v>
      </c>
      <c r="D77" s="802">
        <f>ROUND(SUM(D67:D76),2)</f>
        <v>1548689</v>
      </c>
      <c r="E77" s="802">
        <f>ROUND(SUM(E67:E76),2)</f>
        <v>0</v>
      </c>
      <c r="F77" s="802">
        <f>ROUND(SUM(F67:F76),2)</f>
        <v>0</v>
      </c>
      <c r="G77" s="802">
        <f>ROUND(SUM(G67:G76),2)</f>
        <v>1548689</v>
      </c>
      <c r="H77" s="803"/>
      <c r="J77" s="791">
        <f>ROUND(SUM(J67:J76),2)</f>
        <v>0</v>
      </c>
      <c r="K77" s="791">
        <f>ROUND(SUM(K67:K76),2)</f>
        <v>0</v>
      </c>
      <c r="L77" s="791">
        <f>ROUND(SUM(L66:L67),2)</f>
        <v>0</v>
      </c>
      <c r="M77" s="791">
        <f>ROUND(SUM(M67:M76),2)</f>
        <v>0</v>
      </c>
      <c r="N77" s="792"/>
      <c r="P77" s="1007"/>
      <c r="Q77" s="1009"/>
      <c r="R77" s="1009"/>
      <c r="S77" s="1009"/>
      <c r="T77" s="1009"/>
      <c r="U77" s="1009"/>
    </row>
    <row r="78" spans="1:21" ht="30" customHeight="1" x14ac:dyDescent="0.2">
      <c r="P78" s="1007"/>
      <c r="Q78" s="1009"/>
      <c r="R78" s="1009"/>
      <c r="S78" s="1009"/>
      <c r="T78" s="1009"/>
      <c r="U78" s="1009"/>
    </row>
    <row r="79" spans="1:21" ht="66.599999999999994" customHeight="1" x14ac:dyDescent="0.2">
      <c r="A79" s="954" t="s">
        <v>89</v>
      </c>
      <c r="C79" s="946" t="str">
        <f>IF(AND(ROUND(C24,0)=ROUND(C63,0),ROUND(C63,0)=ROUND(C77,0)),"OK","WARNING - Sum of the three tables not matching")</f>
        <v>OK</v>
      </c>
      <c r="D79" s="946" t="str">
        <f>IF(AND(ROUND(D24,0)=ROUND(D63,0),ROUND(D63,0)=ROUND(D77,0)),"OK","WARNING - Sum of the three tables not matching")</f>
        <v>OK</v>
      </c>
      <c r="E79" s="946" t="str">
        <f>IF(AND(ROUND(E24,0)=ROUND(E63,0),ROUND(E63,0)=ROUND(E77,0)),"OK","WARNING - Sum of the three tables not matching")</f>
        <v>OK</v>
      </c>
      <c r="F79" s="946" t="str">
        <f>IF(AND(ROUND(F24,0)=ROUND(F63,0),ROUND(F63,0)=ROUND(F77,0)),"OK","WARNING - Sum of the three tables not matching")</f>
        <v>OK</v>
      </c>
      <c r="G79" s="946" t="str">
        <f>IF(AND(ROUND(G24,0)=ROUND(G63,0),ROUND(G63,0)=ROUND(G77,0)),"OK","WARNING - Sum of the three tables not matching")</f>
        <v>OK</v>
      </c>
      <c r="H79" s="947"/>
      <c r="I79" s="948"/>
      <c r="J79" s="946" t="str">
        <f>IF(AND(ROUND(J24,0)=ROUND(J63,0),ROUND(J63,0)=ROUND(J77,0)),"OK","WARNING - Sum of the three tables not matching")</f>
        <v>OK</v>
      </c>
      <c r="K79" s="946" t="str">
        <f>IF(AND(ROUND(K24,0)=ROUND(K63,0),ROUND(K63,0)=ROUND(K77,0)),"OK","WARNING - Sum of the three tables not matching")</f>
        <v>OK</v>
      </c>
      <c r="L79" s="946" t="str">
        <f>IF(AND(ROUND(L24,0)=ROUND(L63,0),ROUND(L63,0)=ROUND(L77,0)),"OK","WARNING - Sum of the three tables not matching")</f>
        <v>OK</v>
      </c>
      <c r="M79" s="946" t="str">
        <f>IF(AND(ROUND(M24,0)=ROUND(M63,0),ROUND(M63,0)=ROUND(M77,0)),"OK","WARNING - Sum of the three tables not matching")</f>
        <v>OK</v>
      </c>
    </row>
    <row r="84" spans="1:19" s="754" customFormat="1" ht="18" x14ac:dyDescent="0.25">
      <c r="A84" s="113" t="s">
        <v>424</v>
      </c>
      <c r="B84" s="786"/>
      <c r="C84" s="786"/>
      <c r="D84" s="763"/>
      <c r="E84" s="763"/>
      <c r="F84" s="763"/>
      <c r="G84" s="763"/>
      <c r="H84" s="763"/>
      <c r="I84" s="763"/>
      <c r="J84" s="763"/>
      <c r="K84" s="753"/>
      <c r="L84" s="753"/>
      <c r="O84" s="757"/>
      <c r="P84" s="996"/>
      <c r="Q84" s="757"/>
      <c r="R84" s="757"/>
      <c r="S84" s="757"/>
    </row>
    <row r="85" spans="1:19" s="754" customFormat="1" ht="21.75" customHeight="1" x14ac:dyDescent="0.2">
      <c r="A85" s="787"/>
      <c r="B85" s="820" t="s">
        <v>425</v>
      </c>
      <c r="C85" s="788" t="str">
        <f>IFERROR(VLOOKUP(1,CashForecastADMIN!D12:E16,2,0),"")</f>
        <v>01/Jan/2018-31/Mar/2018</v>
      </c>
      <c r="D85" s="788" t="str">
        <f>IFERROR(VLOOKUP(2,CashForecastADMIN!D12:E16,2,0),"")</f>
        <v/>
      </c>
      <c r="E85" s="788" t="str">
        <f>IFERROR(VLOOKUP(3,CashForecastADMIN!D12:E16,2,0),"")</f>
        <v/>
      </c>
      <c r="F85" s="788" t="str">
        <f>IFERROR(VLOOKUP(4,CashForecastADMIN!D12:E16,2,0),"")</f>
        <v/>
      </c>
      <c r="G85" s="788" t="s">
        <v>60</v>
      </c>
      <c r="H85" s="788" t="str">
        <f>IFERROR(VLOOKUP(1,CashForecastADMIN!D18:E21,2,0),"")</f>
        <v/>
      </c>
      <c r="I85" s="788" t="str">
        <f>IFERROR(VLOOKUP(2,CashForecastADMIN!D18:E21,2,0),"")</f>
        <v/>
      </c>
      <c r="J85" s="788" t="s">
        <v>60</v>
      </c>
      <c r="K85" s="789"/>
      <c r="L85" s="753"/>
      <c r="O85" s="757"/>
      <c r="P85" s="996"/>
      <c r="Q85" s="757"/>
      <c r="R85" s="757"/>
      <c r="S85" s="757"/>
    </row>
    <row r="86" spans="1:19" s="754" customFormat="1" ht="19.5" hidden="1" customHeight="1" x14ac:dyDescent="0.2">
      <c r="A86" s="790"/>
      <c r="B86" s="1319" t="s">
        <v>519</v>
      </c>
      <c r="C86" s="1320" t="s">
        <v>508</v>
      </c>
      <c r="D86" s="1320" t="s">
        <v>510</v>
      </c>
      <c r="E86" s="1320" t="s">
        <v>512</v>
      </c>
      <c r="F86" s="1320" t="s">
        <v>514</v>
      </c>
      <c r="G86" s="1320"/>
      <c r="H86" s="1320" t="s">
        <v>516</v>
      </c>
      <c r="I86" s="1320" t="s">
        <v>518</v>
      </c>
      <c r="J86" s="1296">
        <f>SUM(H86:I86)</f>
        <v>0</v>
      </c>
      <c r="K86" s="1321">
        <f>G86+J86</f>
        <v>0</v>
      </c>
      <c r="L86" s="1322" t="s">
        <v>356</v>
      </c>
      <c r="O86" s="757"/>
      <c r="P86" s="996"/>
      <c r="Q86" s="757"/>
      <c r="R86" s="757"/>
      <c r="S86" s="757"/>
    </row>
    <row r="87" spans="1:19" s="754" customFormat="1" ht="24.75" hidden="1" customHeight="1" x14ac:dyDescent="0.2">
      <c r="A87" s="787"/>
      <c r="B87" s="1323" t="s">
        <v>505</v>
      </c>
      <c r="C87" s="1296" t="s">
        <v>507</v>
      </c>
      <c r="D87" s="1296" t="s">
        <v>509</v>
      </c>
      <c r="E87" s="1296" t="s">
        <v>511</v>
      </c>
      <c r="F87" s="1296" t="s">
        <v>513</v>
      </c>
      <c r="G87" s="1296">
        <f>SUM(C87:F87)</f>
        <v>0</v>
      </c>
      <c r="H87" s="1296" t="s">
        <v>515</v>
      </c>
      <c r="I87" s="1296" t="s">
        <v>517</v>
      </c>
      <c r="J87" s="1296">
        <f>SUM(H87:I87)</f>
        <v>0</v>
      </c>
      <c r="K87" s="1321">
        <f>G87+J87</f>
        <v>0</v>
      </c>
      <c r="L87" s="1322" t="s">
        <v>355</v>
      </c>
      <c r="O87" s="757"/>
      <c r="P87" s="996"/>
      <c r="Q87" s="757"/>
      <c r="R87" s="757"/>
      <c r="S87" s="757"/>
    </row>
    <row r="88" spans="1:19" s="754" customFormat="1" ht="24.75" customHeight="1" x14ac:dyDescent="0.2">
      <c r="A88" s="787"/>
      <c r="B88" s="1323" t="s">
        <v>426</v>
      </c>
      <c r="C88" s="1296">
        <v>86035.733999999997</v>
      </c>
      <c r="D88" s="1296">
        <v>0</v>
      </c>
      <c r="E88" s="1296">
        <v>0</v>
      </c>
      <c r="F88" s="1296">
        <v>0</v>
      </c>
      <c r="G88" s="1296">
        <f>SUM(C88:F88)</f>
        <v>86035.733999999997</v>
      </c>
      <c r="H88" s="1296">
        <v>0</v>
      </c>
      <c r="I88" s="1296">
        <v>0</v>
      </c>
      <c r="J88" s="1296">
        <f>SUM(H88:I88)</f>
        <v>0</v>
      </c>
      <c r="K88" s="1321">
        <f>G88+J88</f>
        <v>86035.733999999997</v>
      </c>
      <c r="L88" s="1322" t="s">
        <v>1185</v>
      </c>
      <c r="O88" s="757"/>
      <c r="P88" s="996"/>
      <c r="Q88" s="757"/>
      <c r="R88" s="757"/>
      <c r="S88" s="757"/>
    </row>
    <row r="89" spans="1:19" s="754" customFormat="1" ht="21.75" hidden="1" customHeight="1" x14ac:dyDescent="0.2">
      <c r="A89" s="821"/>
      <c r="B89" s="1324"/>
      <c r="C89" s="1325"/>
      <c r="D89" s="1325"/>
      <c r="E89" s="1325"/>
      <c r="F89" s="1325"/>
      <c r="G89" s="1296">
        <f>SUM(C89:F89)</f>
        <v>0</v>
      </c>
      <c r="H89" s="1325"/>
      <c r="I89" s="1325"/>
      <c r="J89" s="1296">
        <f>SUM(H89:I89)</f>
        <v>0</v>
      </c>
      <c r="K89" s="1321">
        <f>G89+J89</f>
        <v>0</v>
      </c>
      <c r="L89" s="1322"/>
      <c r="O89" s="757"/>
      <c r="P89" s="996"/>
      <c r="Q89" s="757"/>
      <c r="R89" s="757"/>
      <c r="S89" s="757"/>
    </row>
    <row r="90" spans="1:19" s="754" customFormat="1" ht="16.5" hidden="1" customHeight="1" x14ac:dyDescent="0.2">
      <c r="A90" s="1730" t="s">
        <v>70</v>
      </c>
      <c r="B90" s="1323" t="s">
        <v>505</v>
      </c>
      <c r="C90" s="1306" t="s">
        <v>507</v>
      </c>
      <c r="D90" s="1306" t="s">
        <v>509</v>
      </c>
      <c r="E90" s="1306" t="s">
        <v>511</v>
      </c>
      <c r="F90" s="1306" t="s">
        <v>513</v>
      </c>
      <c r="G90" s="1296">
        <f t="shared" ref="G90:G93" si="10">SUM(C90:F90)</f>
        <v>0</v>
      </c>
      <c r="H90" s="1306" t="s">
        <v>515</v>
      </c>
      <c r="I90" s="1306" t="s">
        <v>517</v>
      </c>
      <c r="J90" s="1296">
        <f t="shared" ref="J90:J93" si="11">SUM(H90:I90)</f>
        <v>0</v>
      </c>
      <c r="K90" s="1305"/>
      <c r="L90" s="1322" t="s">
        <v>355</v>
      </c>
      <c r="O90" s="757"/>
      <c r="P90" s="996"/>
      <c r="Q90" s="757"/>
      <c r="R90" s="757"/>
      <c r="S90" s="757"/>
    </row>
    <row r="91" spans="1:19" s="754" customFormat="1" ht="16.5" customHeight="1" x14ac:dyDescent="0.2">
      <c r="A91" s="1730"/>
      <c r="B91" s="1323" t="s">
        <v>428</v>
      </c>
      <c r="C91" s="1306">
        <v>0</v>
      </c>
      <c r="D91" s="1306">
        <v>0</v>
      </c>
      <c r="E91" s="1306">
        <v>0</v>
      </c>
      <c r="F91" s="1306">
        <v>0</v>
      </c>
      <c r="G91" s="1296">
        <f t="shared" si="10"/>
        <v>0</v>
      </c>
      <c r="H91" s="1306">
        <v>0</v>
      </c>
      <c r="I91" s="1306">
        <v>0</v>
      </c>
      <c r="J91" s="1296">
        <f t="shared" si="11"/>
        <v>0</v>
      </c>
      <c r="K91" s="1305"/>
      <c r="L91" s="1322" t="s">
        <v>1186</v>
      </c>
      <c r="O91" s="757"/>
      <c r="P91" s="996"/>
      <c r="Q91" s="757"/>
      <c r="R91" s="757"/>
      <c r="S91" s="757"/>
    </row>
    <row r="92" spans="1:19" s="754" customFormat="1" ht="16.5" customHeight="1" x14ac:dyDescent="0.2">
      <c r="A92" s="1730"/>
      <c r="B92" s="1323" t="s">
        <v>427</v>
      </c>
      <c r="C92" s="1306">
        <v>1074149</v>
      </c>
      <c r="D92" s="1306">
        <v>266688</v>
      </c>
      <c r="E92" s="1306">
        <v>207852</v>
      </c>
      <c r="F92" s="1306">
        <v>0</v>
      </c>
      <c r="G92" s="1296">
        <f t="shared" si="10"/>
        <v>1548689</v>
      </c>
      <c r="H92" s="1306">
        <v>0</v>
      </c>
      <c r="I92" s="1306">
        <v>0</v>
      </c>
      <c r="J92" s="1296">
        <f t="shared" si="11"/>
        <v>0</v>
      </c>
      <c r="K92" s="1305"/>
      <c r="L92" s="1322" t="s">
        <v>1187</v>
      </c>
      <c r="O92" s="757"/>
      <c r="P92" s="996"/>
      <c r="Q92" s="757"/>
      <c r="R92" s="757"/>
      <c r="S92" s="757"/>
    </row>
    <row r="93" spans="1:19" s="754" customFormat="1" ht="16.5" customHeight="1" x14ac:dyDescent="0.2">
      <c r="A93" s="1730"/>
      <c r="B93" s="1323" t="s">
        <v>583</v>
      </c>
      <c r="C93" s="1306">
        <v>0</v>
      </c>
      <c r="D93" s="1306">
        <v>0</v>
      </c>
      <c r="E93" s="1306">
        <v>0</v>
      </c>
      <c r="F93" s="1306">
        <v>0</v>
      </c>
      <c r="G93" s="1296">
        <f t="shared" si="10"/>
        <v>0</v>
      </c>
      <c r="H93" s="1306">
        <v>0</v>
      </c>
      <c r="I93" s="1306">
        <v>0</v>
      </c>
      <c r="J93" s="1296">
        <f t="shared" si="11"/>
        <v>0</v>
      </c>
      <c r="K93" s="1305"/>
      <c r="L93" s="1322" t="s">
        <v>1188</v>
      </c>
      <c r="O93" s="757"/>
      <c r="P93" s="996"/>
      <c r="Q93" s="757"/>
      <c r="R93" s="757"/>
      <c r="S93" s="757"/>
    </row>
    <row r="94" spans="1:19" s="754" customFormat="1" ht="13.5" hidden="1" customHeight="1" x14ac:dyDescent="0.2">
      <c r="A94" s="1730"/>
      <c r="B94" s="822"/>
      <c r="C94" s="793"/>
      <c r="D94" s="793"/>
      <c r="E94" s="793"/>
      <c r="F94" s="793"/>
      <c r="G94" s="793"/>
      <c r="H94" s="793"/>
      <c r="I94" s="793"/>
      <c r="J94" s="793"/>
      <c r="K94" s="789"/>
      <c r="L94" s="785"/>
      <c r="O94" s="757"/>
      <c r="P94" s="996"/>
      <c r="Q94" s="757"/>
      <c r="R94" s="757"/>
      <c r="S94" s="757"/>
    </row>
    <row r="95" spans="1:19" s="754" customFormat="1" x14ac:dyDescent="0.2">
      <c r="A95" s="1730"/>
      <c r="B95" s="823" t="s">
        <v>60</v>
      </c>
      <c r="C95" s="791">
        <f>ROUND(SUM(C89:C94),2)</f>
        <v>1074149</v>
      </c>
      <c r="D95" s="791">
        <f t="shared" ref="D95:F95" si="12">ROUND(SUM(D89:D94),2)</f>
        <v>266688</v>
      </c>
      <c r="E95" s="791">
        <f t="shared" si="12"/>
        <v>207852</v>
      </c>
      <c r="F95" s="791">
        <f t="shared" si="12"/>
        <v>0</v>
      </c>
      <c r="G95" s="791">
        <f>ROUND(SUM(C95:F95),2)</f>
        <v>1548689</v>
      </c>
      <c r="H95" s="791">
        <f>ROUND(SUM(H89:H94),2)</f>
        <v>0</v>
      </c>
      <c r="I95" s="791">
        <f>ROUND(SUM(I89:I94),2)</f>
        <v>0</v>
      </c>
      <c r="J95" s="791">
        <f>ROUND(SUM(H95:I95),2)</f>
        <v>0</v>
      </c>
      <c r="K95" s="791">
        <f>G95+J95</f>
        <v>1548689</v>
      </c>
      <c r="L95" s="785"/>
      <c r="O95" s="757"/>
      <c r="P95" s="996"/>
      <c r="Q95" s="757"/>
      <c r="R95" s="757"/>
      <c r="S95" s="757"/>
    </row>
    <row r="96" spans="1:19" s="754" customFormat="1" ht="26.45" hidden="1" customHeight="1" x14ac:dyDescent="0.2">
      <c r="A96" s="794"/>
      <c r="B96" s="1324" t="s">
        <v>506</v>
      </c>
      <c r="C96" s="1325" t="s">
        <v>508</v>
      </c>
      <c r="D96" s="1325" t="s">
        <v>510</v>
      </c>
      <c r="E96" s="1325" t="s">
        <v>512</v>
      </c>
      <c r="F96" s="1325" t="s">
        <v>514</v>
      </c>
      <c r="G96" s="1321">
        <f t="shared" ref="G96:G100" si="13">SUM(C96:F96)</f>
        <v>0</v>
      </c>
      <c r="H96" s="1325" t="s">
        <v>516</v>
      </c>
      <c r="I96" s="1325" t="s">
        <v>518</v>
      </c>
      <c r="J96" s="1321">
        <f t="shared" ref="J96:J100" si="14">SUM(H96:I96)</f>
        <v>0</v>
      </c>
      <c r="K96" s="1321">
        <f>G96+J96</f>
        <v>0</v>
      </c>
      <c r="L96" s="1322" t="s">
        <v>356</v>
      </c>
      <c r="O96" s="757"/>
      <c r="P96" s="996"/>
      <c r="Q96" s="757"/>
      <c r="R96" s="757"/>
      <c r="S96" s="757"/>
    </row>
    <row r="97" spans="1:19" s="754" customFormat="1" ht="26.45" hidden="1" customHeight="1" x14ac:dyDescent="0.2">
      <c r="A97" s="1731" t="s">
        <v>429</v>
      </c>
      <c r="B97" s="1323" t="s">
        <v>505</v>
      </c>
      <c r="C97" s="1306" t="s">
        <v>507</v>
      </c>
      <c r="D97" s="1306" t="s">
        <v>509</v>
      </c>
      <c r="E97" s="1306" t="s">
        <v>511</v>
      </c>
      <c r="F97" s="1306" t="s">
        <v>513</v>
      </c>
      <c r="G97" s="1321">
        <f t="shared" si="13"/>
        <v>0</v>
      </c>
      <c r="H97" s="1306" t="s">
        <v>515</v>
      </c>
      <c r="I97" s="1306" t="s">
        <v>517</v>
      </c>
      <c r="J97" s="1321">
        <f t="shared" si="14"/>
        <v>0</v>
      </c>
      <c r="K97" s="1305"/>
      <c r="L97" s="1322" t="s">
        <v>355</v>
      </c>
      <c r="O97" s="757"/>
      <c r="P97" s="996"/>
      <c r="Q97" s="757"/>
      <c r="R97" s="757"/>
      <c r="S97" s="757"/>
    </row>
    <row r="98" spans="1:19" s="754" customFormat="1" ht="26.45" customHeight="1" x14ac:dyDescent="0.2">
      <c r="A98" s="1731"/>
      <c r="B98" s="1323" t="s">
        <v>428</v>
      </c>
      <c r="C98" s="1306">
        <v>0</v>
      </c>
      <c r="D98" s="1306">
        <v>0</v>
      </c>
      <c r="E98" s="1306">
        <v>0</v>
      </c>
      <c r="F98" s="1306">
        <v>0</v>
      </c>
      <c r="G98" s="1321">
        <f t="shared" si="13"/>
        <v>0</v>
      </c>
      <c r="H98" s="1306">
        <v>0</v>
      </c>
      <c r="I98" s="1306">
        <v>0</v>
      </c>
      <c r="J98" s="1321">
        <f t="shared" si="14"/>
        <v>0</v>
      </c>
      <c r="K98" s="1305"/>
      <c r="L98" s="1322" t="s">
        <v>1189</v>
      </c>
      <c r="O98" s="757"/>
      <c r="P98" s="996"/>
      <c r="Q98" s="757"/>
      <c r="R98" s="757"/>
      <c r="S98" s="757"/>
    </row>
    <row r="99" spans="1:19" s="754" customFormat="1" ht="26.45" customHeight="1" x14ac:dyDescent="0.2">
      <c r="A99" s="1731"/>
      <c r="B99" s="1323" t="s">
        <v>427</v>
      </c>
      <c r="C99" s="1306">
        <v>0</v>
      </c>
      <c r="D99" s="1306">
        <v>0</v>
      </c>
      <c r="E99" s="1306">
        <v>0</v>
      </c>
      <c r="F99" s="1306">
        <v>0</v>
      </c>
      <c r="G99" s="1321">
        <f t="shared" si="13"/>
        <v>0</v>
      </c>
      <c r="H99" s="1306">
        <v>0</v>
      </c>
      <c r="I99" s="1306">
        <v>0</v>
      </c>
      <c r="J99" s="1321">
        <f t="shared" si="14"/>
        <v>0</v>
      </c>
      <c r="K99" s="1305"/>
      <c r="L99" s="1322" t="s">
        <v>1190</v>
      </c>
      <c r="O99" s="757"/>
      <c r="P99" s="996"/>
      <c r="Q99" s="757"/>
      <c r="R99" s="757"/>
      <c r="S99" s="757"/>
    </row>
    <row r="100" spans="1:19" s="754" customFormat="1" ht="26.45" customHeight="1" x14ac:dyDescent="0.2">
      <c r="A100" s="1731"/>
      <c r="B100" s="1323" t="s">
        <v>583</v>
      </c>
      <c r="C100" s="1306">
        <v>0</v>
      </c>
      <c r="D100" s="1306">
        <v>0</v>
      </c>
      <c r="E100" s="1306">
        <v>0</v>
      </c>
      <c r="F100" s="1306">
        <v>0</v>
      </c>
      <c r="G100" s="1321">
        <f t="shared" si="13"/>
        <v>0</v>
      </c>
      <c r="H100" s="1306">
        <v>0</v>
      </c>
      <c r="I100" s="1306">
        <v>0</v>
      </c>
      <c r="J100" s="1321">
        <f t="shared" si="14"/>
        <v>0</v>
      </c>
      <c r="K100" s="1305"/>
      <c r="L100" s="1322" t="s">
        <v>1191</v>
      </c>
      <c r="O100" s="757"/>
      <c r="P100" s="996"/>
      <c r="Q100" s="757"/>
      <c r="R100" s="757"/>
      <c r="S100" s="757"/>
    </row>
    <row r="101" spans="1:19" s="754" customFormat="1" ht="14.45" customHeight="1" x14ac:dyDescent="0.2">
      <c r="A101" s="1731"/>
      <c r="B101" s="822"/>
      <c r="C101" s="793"/>
      <c r="D101" s="793"/>
      <c r="E101" s="793"/>
      <c r="F101" s="793"/>
      <c r="G101" s="793"/>
      <c r="H101" s="793"/>
      <c r="I101" s="793"/>
      <c r="J101" s="793"/>
      <c r="K101" s="789"/>
      <c r="O101" s="757"/>
      <c r="P101" s="996"/>
      <c r="Q101" s="757"/>
      <c r="R101" s="757"/>
      <c r="S101" s="757"/>
    </row>
    <row r="102" spans="1:19" s="754" customFormat="1" x14ac:dyDescent="0.2">
      <c r="A102" s="1731"/>
      <c r="B102" s="823" t="s">
        <v>60</v>
      </c>
      <c r="C102" s="791">
        <f>ROUND(SUM(C96:C101),2)</f>
        <v>0</v>
      </c>
      <c r="D102" s="791">
        <f t="shared" ref="D102:F102" si="15">ROUND(SUM(D96:D101),2)</f>
        <v>0</v>
      </c>
      <c r="E102" s="791">
        <f t="shared" si="15"/>
        <v>0</v>
      </c>
      <c r="F102" s="791">
        <f t="shared" si="15"/>
        <v>0</v>
      </c>
      <c r="G102" s="791">
        <f>ROUND(SUM(C102:F102),2)</f>
        <v>0</v>
      </c>
      <c r="H102" s="791">
        <f>ROUND(SUM(H96:H101),2)</f>
        <v>0</v>
      </c>
      <c r="I102" s="791">
        <f>ROUND(SUM(I96:I101),2)</f>
        <v>0</v>
      </c>
      <c r="J102" s="791">
        <f>ROUND(SUM(H102:I102),2)</f>
        <v>0</v>
      </c>
      <c r="K102" s="791">
        <f>G102+J102</f>
        <v>0</v>
      </c>
      <c r="O102" s="757"/>
      <c r="P102" s="996"/>
      <c r="Q102" s="757"/>
      <c r="R102" s="757"/>
      <c r="S102" s="757"/>
    </row>
    <row r="103" spans="1:19" s="754" customFormat="1" x14ac:dyDescent="0.2">
      <c r="A103" s="757"/>
      <c r="B103" s="755"/>
      <c r="C103" s="755"/>
      <c r="D103" s="755"/>
      <c r="E103" s="755"/>
      <c r="F103" s="755"/>
      <c r="G103" s="755"/>
      <c r="H103" s="755"/>
      <c r="I103" s="753"/>
      <c r="J103" s="753"/>
      <c r="K103" s="753"/>
      <c r="O103" s="757"/>
      <c r="P103" s="996"/>
      <c r="Q103" s="757"/>
      <c r="R103" s="757"/>
      <c r="S103" s="757"/>
    </row>
    <row r="104" spans="1:19" x14ac:dyDescent="0.2">
      <c r="I104" s="755"/>
      <c r="J104" s="755"/>
      <c r="K104" s="755"/>
      <c r="L104" s="755"/>
      <c r="M104" s="755"/>
      <c r="N104" s="755"/>
    </row>
    <row r="105" spans="1:19" s="754" customFormat="1" ht="62.25" customHeight="1" x14ac:dyDescent="0.2">
      <c r="A105" s="944" t="s">
        <v>430</v>
      </c>
      <c r="B105" s="755"/>
      <c r="C105" s="755"/>
      <c r="D105" s="755"/>
      <c r="E105" s="755"/>
      <c r="F105" s="755"/>
      <c r="G105" s="946" t="str">
        <f>IF(AND(ROUND(D24,0)=ROUND(D63,0),ROUND(D63,0)=ROUND(D77,0),ROUND(D77,0)=ROUND(G95,0)),"OK","WARNING - Sum of the three tables not matching")</f>
        <v>OK</v>
      </c>
      <c r="H105" s="947"/>
      <c r="I105" s="948"/>
      <c r="J105" s="946" t="str">
        <f>IF(AND(ROUND(F24,0)=ROUND(F63,0),ROUND(F63,0)=ROUND(F77,0),ROUND(F77,0)=ROUND(J95,0)),"OK","WARNING - Sum of the three tables not matching")</f>
        <v>OK</v>
      </c>
      <c r="K105" s="753"/>
      <c r="L105" s="753"/>
      <c r="O105" s="757"/>
      <c r="P105" s="996"/>
      <c r="Q105" s="757"/>
      <c r="R105" s="757"/>
      <c r="S105" s="757"/>
    </row>
    <row r="107" spans="1:19" s="755" customFormat="1" ht="62.25" customHeight="1" x14ac:dyDescent="0.2">
      <c r="A107" s="956" t="s">
        <v>551</v>
      </c>
      <c r="G107" s="946" t="str">
        <f>IF(AND(ROUND(J24,0)=ROUND(J63,0),ROUND(J63,0)=ROUND(J77,0),ROUND(J77,0)=ROUND(G102,0)),"OK","WARNING - Sum of the three tables not matching")</f>
        <v>OK</v>
      </c>
      <c r="I107" s="753"/>
      <c r="J107" s="946" t="str">
        <f>IF(AND(ROUND(K24,0)=ROUND(K63,0),ROUND(K63,0)=ROUND(K77,0),ROUND(K77,0)=ROUND(J102,0)),"OK","WARNING - Sum of the three tables not matching")</f>
        <v>OK</v>
      </c>
      <c r="K107" s="753"/>
      <c r="L107" s="753"/>
      <c r="M107" s="754"/>
      <c r="N107" s="754"/>
      <c r="O107" s="757"/>
      <c r="P107" s="996"/>
      <c r="Q107" s="757"/>
      <c r="R107" s="757"/>
      <c r="S107" s="757"/>
    </row>
    <row r="114" spans="3:19" s="755" customFormat="1" x14ac:dyDescent="0.2">
      <c r="C114" s="910" t="s">
        <v>431</v>
      </c>
      <c r="I114" s="753"/>
      <c r="J114" s="753"/>
      <c r="K114" s="753"/>
      <c r="L114" s="753"/>
      <c r="M114" s="754"/>
      <c r="N114" s="754"/>
      <c r="O114" s="757"/>
      <c r="P114" s="996"/>
      <c r="Q114" s="757"/>
      <c r="R114" s="757"/>
      <c r="S114" s="757"/>
    </row>
    <row r="122" spans="3:19" x14ac:dyDescent="0.2">
      <c r="I122" s="755"/>
      <c r="J122" s="755"/>
      <c r="K122" s="755"/>
      <c r="L122" s="755"/>
      <c r="M122" s="755"/>
      <c r="N122" s="755"/>
    </row>
    <row r="123" spans="3:19" x14ac:dyDescent="0.2">
      <c r="I123" s="755"/>
      <c r="J123" s="755"/>
      <c r="K123" s="755"/>
      <c r="L123" s="755"/>
      <c r="M123" s="755"/>
      <c r="N123" s="755"/>
    </row>
    <row r="124" spans="3:19" x14ac:dyDescent="0.2">
      <c r="I124" s="755"/>
      <c r="J124" s="755"/>
      <c r="K124" s="755"/>
      <c r="L124" s="755"/>
      <c r="M124" s="755"/>
      <c r="N124" s="755"/>
    </row>
    <row r="130" spans="2:13" x14ac:dyDescent="0.2">
      <c r="I130" s="755"/>
      <c r="J130" s="755"/>
      <c r="K130" s="755"/>
      <c r="L130" s="755"/>
      <c r="M130" s="755"/>
    </row>
    <row r="131" spans="2:13" x14ac:dyDescent="0.2">
      <c r="I131" s="755"/>
      <c r="J131" s="755"/>
      <c r="K131" s="755"/>
      <c r="L131" s="755"/>
      <c r="M131" s="755"/>
    </row>
    <row r="132" spans="2:13" x14ac:dyDescent="0.2">
      <c r="K132" s="913"/>
      <c r="L132" s="911"/>
      <c r="M132" s="911"/>
    </row>
    <row r="133" spans="2:13" x14ac:dyDescent="0.2">
      <c r="K133" s="913"/>
      <c r="L133" s="911"/>
      <c r="M133" s="911"/>
    </row>
    <row r="134" spans="2:13" x14ac:dyDescent="0.2">
      <c r="K134" s="913"/>
      <c r="L134" s="911"/>
      <c r="M134" s="911"/>
    </row>
    <row r="135" spans="2:13" x14ac:dyDescent="0.2">
      <c r="K135" s="913"/>
      <c r="L135" s="911"/>
      <c r="M135" s="911"/>
    </row>
    <row r="136" spans="2:13" x14ac:dyDescent="0.2">
      <c r="K136" s="913"/>
      <c r="L136" s="911"/>
      <c r="M136" s="911"/>
    </row>
    <row r="137" spans="2:13" x14ac:dyDescent="0.2">
      <c r="K137" s="913"/>
      <c r="L137" s="911"/>
      <c r="M137" s="911"/>
    </row>
    <row r="138" spans="2:13" x14ac:dyDescent="0.2">
      <c r="K138" s="913"/>
      <c r="L138" s="911"/>
      <c r="M138" s="911"/>
    </row>
    <row r="139" spans="2:13" x14ac:dyDescent="0.2">
      <c r="B139" s="912"/>
      <c r="C139" s="912"/>
      <c r="D139" s="912"/>
      <c r="E139" s="912"/>
      <c r="F139" s="912"/>
      <c r="G139" s="912"/>
      <c r="H139" s="912"/>
      <c r="I139" s="912"/>
      <c r="J139" s="912"/>
      <c r="K139" s="912"/>
      <c r="L139" s="911"/>
      <c r="M139" s="911"/>
    </row>
    <row r="140" spans="2:13" x14ac:dyDescent="0.2">
      <c r="I140" s="755"/>
      <c r="J140" s="755"/>
      <c r="K140" s="755"/>
      <c r="L140" s="755"/>
      <c r="M140" s="755"/>
    </row>
  </sheetData>
  <sheetProtection algorithmName="SHA-512" hashValue="JOpPX3KQ0MYEomhOd6kIQwfRWyoGXlV2U29JGoK8fZxNwXQYjVqQBU+/Q4eVTy8Z4e5aJzvWHiAoKLEwb2s1rQ==" saltValue="pC+XU7QDWt1ClXMe2D1jrg==" spinCount="100000" sheet="1" objects="1" scenarios="1" formatColumns="0" formatRows="0" sort="0" autoFilter="0"/>
  <autoFilter ref="A35:R61"/>
  <mergeCells count="6">
    <mergeCell ref="K4:M4"/>
    <mergeCell ref="A1:I1"/>
    <mergeCell ref="A90:A95"/>
    <mergeCell ref="A97:A102"/>
    <mergeCell ref="C3:F3"/>
    <mergeCell ref="C4:F4"/>
  </mergeCells>
  <conditionalFormatting sqref="H24 J29:N35">
    <cfRule type="expression" dxfId="54" priority="39">
      <formula>ISERROR(H24)</formula>
    </cfRule>
  </conditionalFormatting>
  <conditionalFormatting sqref="N24">
    <cfRule type="expression" dxfId="53" priority="37">
      <formula>ISERROR(N24)</formula>
    </cfRule>
  </conditionalFormatting>
  <conditionalFormatting sqref="N9:N22">
    <cfRule type="expression" dxfId="52" priority="38">
      <formula>ISERROR(N9)</formula>
    </cfRule>
  </conditionalFormatting>
  <conditionalFormatting sqref="J9:J22">
    <cfRule type="expression" dxfId="51" priority="36">
      <formula>ISERROR(J9)</formula>
    </cfRule>
  </conditionalFormatting>
  <conditionalFormatting sqref="H63">
    <cfRule type="expression" dxfId="50" priority="35">
      <formula>ISERROR(H63)</formula>
    </cfRule>
  </conditionalFormatting>
  <conditionalFormatting sqref="N63">
    <cfRule type="expression" dxfId="49" priority="34">
      <formula>ISERROR(N63)</formula>
    </cfRule>
  </conditionalFormatting>
  <conditionalFormatting sqref="N77">
    <cfRule type="expression" dxfId="48" priority="32">
      <formula>ISERROR(N77)</formula>
    </cfRule>
  </conditionalFormatting>
  <conditionalFormatting sqref="H77">
    <cfRule type="expression" dxfId="47" priority="31">
      <formula>ISERROR(H77)</formula>
    </cfRule>
  </conditionalFormatting>
  <conditionalFormatting sqref="C79:G79">
    <cfRule type="expression" dxfId="46" priority="30">
      <formula>C79="WARNING - Sum of the three tables not matching"</formula>
    </cfRule>
  </conditionalFormatting>
  <conditionalFormatting sqref="J79:M79">
    <cfRule type="expression" dxfId="45" priority="29">
      <formula>J79="WARNING - Sum of the three tables not matching"</formula>
    </cfRule>
  </conditionalFormatting>
  <conditionalFormatting sqref="C90:F93 H90:I93">
    <cfRule type="expression" dxfId="44" priority="26">
      <formula>ISERROR(C90)</formula>
    </cfRule>
  </conditionalFormatting>
  <conditionalFormatting sqref="C97:F100 H97:I100">
    <cfRule type="expression" dxfId="43" priority="25">
      <formula>ISERROR(C97)</formula>
    </cfRule>
  </conditionalFormatting>
  <conditionalFormatting sqref="J105">
    <cfRule type="expression" dxfId="42" priority="23">
      <formula>J105="WARNING - Sum of the three tables not matching"</formula>
    </cfRule>
  </conditionalFormatting>
  <conditionalFormatting sqref="G105">
    <cfRule type="expression" dxfId="41" priority="24">
      <formula>G105="WARNING - Sum of the three tables not matching"</formula>
    </cfRule>
  </conditionalFormatting>
  <conditionalFormatting sqref="H85:I102 K9:K24 F9:F24 K29:K35 K63 F29:F35 F63 K77 F77">
    <cfRule type="expression" dxfId="40" priority="19">
      <formula>($G$4)="N/A"</formula>
    </cfRule>
  </conditionalFormatting>
  <conditionalFormatting sqref="J107">
    <cfRule type="expression" dxfId="39" priority="18">
      <formula>J107="WARNING - Sum of the three tables not matching"</formula>
    </cfRule>
  </conditionalFormatting>
  <conditionalFormatting sqref="G107">
    <cfRule type="expression" dxfId="38" priority="17">
      <formula>G107="WARNING - Sum of the three tables not matching"</formula>
    </cfRule>
  </conditionalFormatting>
  <conditionalFormatting sqref="F36:F61">
    <cfRule type="expression" dxfId="37" priority="15">
      <formula>($G$4)="N/A"</formula>
    </cfRule>
  </conditionalFormatting>
  <conditionalFormatting sqref="M36:M61">
    <cfRule type="expression" dxfId="36" priority="13">
      <formula>ISERROR(M36)</formula>
    </cfRule>
  </conditionalFormatting>
  <conditionalFormatting sqref="N36:N61">
    <cfRule type="expression" dxfId="35" priority="11">
      <formula>ISERROR(N36)</formula>
    </cfRule>
  </conditionalFormatting>
  <conditionalFormatting sqref="J36:K61">
    <cfRule type="expression" dxfId="34" priority="10">
      <formula>ISERROR(J36)</formula>
    </cfRule>
  </conditionalFormatting>
  <conditionalFormatting sqref="K36:K61">
    <cfRule type="expression" dxfId="33" priority="8">
      <formula>($G$4)="N/A"</formula>
    </cfRule>
  </conditionalFormatting>
  <conditionalFormatting sqref="J67:N75">
    <cfRule type="expression" dxfId="32" priority="4">
      <formula>ISERROR(J67)</formula>
    </cfRule>
  </conditionalFormatting>
  <conditionalFormatting sqref="K67:K75 F67:F75">
    <cfRule type="expression" dxfId="31" priority="2">
      <formula>($G$4)="N/A"</formula>
    </cfRule>
  </conditionalFormatting>
  <dataValidations count="17">
    <dataValidation type="list" allowBlank="1" showInputMessage="1" showErrorMessage="1" sqref="N4">
      <formula1>"Select,Yes,No"</formula1>
    </dataValidation>
    <dataValidation type="list" allowBlank="1" showInputMessage="1" showErrorMessage="1" sqref="A36:A61">
      <formula1>Module_List</formula1>
    </dataValidation>
    <dataValidation type="list" allowBlank="1" showInputMessage="1" showErrorMessage="1" sqref="B36:B61">
      <formula1>OFFSET(ModuleStart,MATCH(P36,ModuleColumn,0)-1,3,COUNTIF(ModuleColumn,P36),1)</formula1>
    </dataValidation>
    <dataValidation type="decimal" allowBlank="1" showInputMessage="1" showErrorMessage="1" errorTitle="X-Author for Excel" error="Please enter a valid numeric value. Valid range for Budget for Forecast Period is -9999999999.99 to 9999999999.99." promptTitle="X-Author for Excel" sqref="C9:C22 C29:C34 C67:C75 C36:C61">
      <formula1>-9999999999.99</formula1>
      <formula2>9999999999.99</formula2>
    </dataValidation>
    <dataValidation type="decimal" allowBlank="1" showInputMessage="1" showErrorMessage="1" errorTitle="X-Author for Excel" error="Please enter a valid numeric value. Valid range for PR Forecast for the period is -9999999999.99 to 9999999999.99." promptTitle="X-Author for Excel" sqref="D9:D22 D29:D34 D67:D75 D36:D61">
      <formula1>-9999999999.99</formula1>
      <formula2>9999999999.99</formula2>
    </dataValidation>
    <dataValidation type="decimal" allowBlank="1" showInputMessage="1" showErrorMessage="1" errorTitle="X-Author for Excel" error="Please enter a valid numeric value. Valid range for Budget for the Buffer Period is -9999999999.99 to 9999999999.99." promptTitle="X-Author for Excel" sqref="E9:E22 E29:E34 E67:E75 E36:E61">
      <formula1>-9999999999.99</formula1>
      <formula2>9999999999.99</formula2>
    </dataValidation>
    <dataValidation type="decimal" allowBlank="1" showInputMessage="1" showErrorMessage="1" errorTitle="X-Author for Excel" error="Please enter a valid numeric value. Valid range for PR Forecast for the Buffer Period is -9999999999.99 to 9999999999.99." promptTitle="X-Author for Excel" sqref="F9:F22 F29:F34 F67:F75 F36:F61">
      <formula1>-9999999999.99</formula1>
      <formula2>9999999999.99</formula2>
    </dataValidation>
    <dataValidation type="decimal" allowBlank="1" showInputMessage="1" showErrorMessage="1" errorTitle="X-Author for Excel" error="Please enter a valid numeric value. Valid range for LFA Adjusted Forecast for the period is -9999999999.99 to 9999999999.99." promptTitle="X-Author for Excel" sqref="J9:J22 J29:J34 J67:J75 J36:J61">
      <formula1>-9999999999.99</formula1>
      <formula2>9999999999.99</formula2>
    </dataValidation>
    <dataValidation type="decimal" allowBlank="1" showInputMessage="1" showErrorMessage="1" errorTitle="X-Author for Excel" error="Please enter a valid numeric value. Valid range for LFA Adj. Forecast for the Buffer period is -9999999999.99 to 9999999999.99." promptTitle="X-Author for Excel" sqref="K9:K22 K29:K34 K67:K75 K36:K61">
      <formula1>-9999999999.99</formula1>
      <formula2>9999999999.99</formula2>
    </dataValidation>
    <dataValidation type="custom" allowBlank="1" showInputMessage="1" showErrorMessage="1" errorTitle="X-Author for Excel" error="Id and Lookup fields are not editable." promptTitle="X-Author for Excel" sqref="P9:P22 P29:P34 P67:P75 L87:L88 L90:L93 L97:L100 R36:R61">
      <formula1>""</formula1>
    </dataValidation>
    <dataValidation type="decimal" allowBlank="1" showInputMessage="1" showErrorMessage="1" errorTitle="X-Author for Excel" error="Please enter a valid numeric value. Valid range for Cost Grouping Number is -99999 to 99999." promptTitle="X-Author for Excel" sqref="Q9:Q22">
      <formula1>-99999</formula1>
      <formula2>99999</formula2>
    </dataValidation>
    <dataValidation type="decimal" allowBlank="1" showInputMessage="1" showErrorMessage="1" errorTitle="X-Author for Excel" error="Please enter a valid numeric value. Valid range for Forecast Q1 is -9999999999.99 to 9999999999.99." promptTitle="X-Author for Excel" sqref="C87:C88 C90:C93 C97:C100">
      <formula1>-9999999999.99</formula1>
      <formula2>9999999999.99</formula2>
    </dataValidation>
    <dataValidation type="decimal" allowBlank="1" showInputMessage="1" showErrorMessage="1" errorTitle="X-Author for Excel" error="Please enter a valid numeric value. Valid range for Forecast Q2 is -9999999999.99 to 9999999999.99." promptTitle="X-Author for Excel" sqref="D87:D88 D90:D93 D97:D100">
      <formula1>-9999999999.99</formula1>
      <formula2>9999999999.99</formula2>
    </dataValidation>
    <dataValidation type="decimal" allowBlank="1" showInputMessage="1" showErrorMessage="1" errorTitle="X-Author for Excel" error="Please enter a valid numeric value. Valid range for Forecast Q3 is -9999999999.99 to 9999999999.99." promptTitle="X-Author for Excel" sqref="E87:E88 E90:E93 E97:E100">
      <formula1>-9999999999.99</formula1>
      <formula2>9999999999.99</formula2>
    </dataValidation>
    <dataValidation type="decimal" allowBlank="1" showInputMessage="1" showErrorMessage="1" errorTitle="X-Author for Excel" error="Please enter a valid numeric value. Valid range for Forecast Q4 is -9999999999.99 to 9999999999.99." promptTitle="X-Author for Excel" sqref="F87:F88 F90:F93 F97:F100">
      <formula1>-9999999999.99</formula1>
      <formula2>9999999999.99</formula2>
    </dataValidation>
    <dataValidation type="decimal" allowBlank="1" showInputMessage="1" showErrorMessage="1" errorTitle="X-Author for Excel" error="Please enter a valid numeric value. Valid range for Buffer Q1 is -9999999999.99 to 9999999999.99." promptTitle="X-Author for Excel" sqref="H87:H88 H90:H93 H97:H100">
      <formula1>-9999999999.99</formula1>
      <formula2>9999999999.99</formula2>
    </dataValidation>
    <dataValidation type="decimal" allowBlank="1" showInputMessage="1" showErrorMessage="1" errorTitle="X-Author for Excel" error="Please enter a valid numeric value. Valid range for Buffer Q2 is -9999999999.99 to 9999999999.99." promptTitle="X-Author for Excel" sqref="I87:I88 I90:I93 I97:I100">
      <formula1>-9999999999.99</formula1>
      <formula2>9999999999.99</formula2>
    </dataValidation>
  </dataValidations>
  <printOptions horizontalCentered="1" verticalCentered="1"/>
  <pageMargins left="0.23622047244094491" right="0.23622047244094491" top="0.74803149606299213" bottom="0.74803149606299213" header="0.31496062992125984" footer="0.31496062992125984"/>
  <pageSetup paperSize="8" scale="48" orientation="landscape" r:id="rId1"/>
  <headerFooter>
    <oddFooter>&amp;L&amp;A&amp;R&amp;P</oddFooter>
  </headerFooter>
  <extLst>
    <ext xmlns:x14="http://schemas.microsoft.com/office/spreadsheetml/2009/9/main" uri="{78C0D931-6437-407d-A8EE-F0AAD7539E65}">
      <x14:conditionalFormattings>
        <x14:conditionalFormatting xmlns:xm="http://schemas.microsoft.com/office/excel/2006/main">
          <x14:cfRule type="expression" priority="22" id="{E9F33B69-37AC-4161-9714-DD1FBB9187A1}">
            <xm:f>CoverSheet!$D$11="EUR"</xm:f>
            <x14:dxf>
              <numFmt numFmtId="183" formatCode="[$€-2]\ #,##0.00;[Red]\-[$€-2]\ #,##0.00"/>
            </x14:dxf>
          </x14:cfRule>
          <xm:sqref>C102:K102 C95:K95 K96 J63:M63 C63:G63 C77:G77 J77:M77 C9:G24 J9:M24 C29:G33 J29:M35 C86:K93 C96:J100 C35:G35 C34 E34:G34</xm:sqref>
        </x14:conditionalFormatting>
        <x14:conditionalFormatting xmlns:xm="http://schemas.microsoft.com/office/excel/2006/main">
          <x14:cfRule type="expression" priority="16" id="{FFA631D3-1BE1-4606-821C-DA93B31DA022}">
            <xm:f>CoverSheet!$D$11="EUR"</xm:f>
            <x14:dxf>
              <numFmt numFmtId="183" formatCode="[$€-2]\ #,##0.00;[Red]\-[$€-2]\ #,##0.00"/>
            </x14:dxf>
          </x14:cfRule>
          <xm:sqref>C36:F61</xm:sqref>
        </x14:conditionalFormatting>
        <x14:conditionalFormatting xmlns:xm="http://schemas.microsoft.com/office/excel/2006/main">
          <x14:cfRule type="expression" priority="14" id="{34FC11D3-86F6-40C9-9ECF-C147D8F87512}">
            <xm:f>CoverSheet!$D$11="EUR"</xm:f>
            <x14:dxf>
              <numFmt numFmtId="183" formatCode="[$€-2]\ #,##0.00;[Red]\-[$€-2]\ #,##0.00"/>
            </x14:dxf>
          </x14:cfRule>
          <xm:sqref>G36:G61</xm:sqref>
        </x14:conditionalFormatting>
        <x14:conditionalFormatting xmlns:xm="http://schemas.microsoft.com/office/excel/2006/main">
          <x14:cfRule type="expression" priority="12" id="{B961F0A3-D003-40FB-9A2F-CACCBFC4E4CA}">
            <xm:f>CoverSheet!$D$11="EUR"</xm:f>
            <x14:dxf>
              <numFmt numFmtId="183" formatCode="[$€-2]\ #,##0.00;[Red]\-[$€-2]\ #,##0.00"/>
            </x14:dxf>
          </x14:cfRule>
          <xm:sqref>M36:M61</xm:sqref>
        </x14:conditionalFormatting>
        <x14:conditionalFormatting xmlns:xm="http://schemas.microsoft.com/office/excel/2006/main">
          <x14:cfRule type="expression" priority="9" id="{5E4852F7-7447-485B-A6A8-2260A5B37AC9}">
            <xm:f>CoverSheet!$D$11="EUR"</xm:f>
            <x14:dxf>
              <numFmt numFmtId="183" formatCode="[$€-2]\ #,##0.00;[Red]\-[$€-2]\ #,##0.00"/>
            </x14:dxf>
          </x14:cfRule>
          <xm:sqref>J36:K61</xm:sqref>
        </x14:conditionalFormatting>
        <x14:conditionalFormatting xmlns:xm="http://schemas.microsoft.com/office/excel/2006/main">
          <x14:cfRule type="expression" priority="3" id="{AF22E361-CCFB-4C4E-AC9F-7834E703A270}">
            <xm:f>CoverSheet!$D$11="EUR"</xm:f>
            <x14:dxf>
              <numFmt numFmtId="183" formatCode="[$€-2]\ #,##0.00;[Red]\-[$€-2]\ #,##0.00"/>
            </x14:dxf>
          </x14:cfRule>
          <xm:sqref>C67:G75 J67:M75</xm:sqref>
        </x14:conditionalFormatting>
        <x14:conditionalFormatting xmlns:xm="http://schemas.microsoft.com/office/excel/2006/main">
          <x14:cfRule type="expression" priority="1" id="{2F190A52-4E24-4480-9799-53B5BA4CFCD2}">
            <xm:f>CoverSheet!$D$11="EUR"</xm:f>
            <x14:dxf>
              <numFmt numFmtId="183" formatCode="[$€-2]\ #,##0.00;[Red]\-[$€-2]\ #,##0.00"/>
            </x14:dxf>
          </x14:cfRule>
          <xm:sqref>D34</xm:sqref>
        </x14:conditionalFormatting>
      </x14:conditionalFormatting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3FAF01"/>
  </sheetPr>
  <dimension ref="A1:AO121"/>
  <sheetViews>
    <sheetView zoomScale="60" zoomScaleNormal="60" zoomScaleSheetLayoutView="70" workbookViewId="0">
      <selection activeCell="F51" sqref="F51"/>
    </sheetView>
  </sheetViews>
  <sheetFormatPr defaultColWidth="9.140625" defaultRowHeight="12.75" x14ac:dyDescent="0.2"/>
  <cols>
    <col min="1" max="1" width="46.5703125" style="19" customWidth="1"/>
    <col min="2" max="2" width="15.85546875" style="19" customWidth="1"/>
    <col min="3" max="3" width="18.85546875" style="19" customWidth="1"/>
    <col min="4" max="4" width="18.42578125" style="19" customWidth="1"/>
    <col min="5" max="5" width="16.85546875" style="19" bestFit="1" customWidth="1"/>
    <col min="6" max="6" width="17.140625" style="19" customWidth="1"/>
    <col min="7" max="7" width="1.85546875" style="46" customWidth="1"/>
    <col min="8" max="8" width="17" style="19" customWidth="1"/>
    <col min="9" max="9" width="19.85546875" style="19" customWidth="1"/>
    <col min="10" max="10" width="17.85546875" style="19" customWidth="1"/>
    <col min="11" max="11" width="20.5703125" style="19" customWidth="1"/>
    <col min="12" max="12" width="13.140625" style="19" customWidth="1"/>
    <col min="13" max="21" width="9.140625" style="19"/>
    <col min="22" max="33" width="8.85546875" style="122" customWidth="1"/>
    <col min="34" max="16384" width="9.140625" style="19"/>
  </cols>
  <sheetData>
    <row r="1" spans="1:41" ht="25.5" customHeight="1" x14ac:dyDescent="0.35">
      <c r="A1" s="1710" t="s">
        <v>580</v>
      </c>
      <c r="B1" s="1710"/>
      <c r="C1" s="1710"/>
      <c r="D1" s="1710"/>
      <c r="E1" s="1710"/>
      <c r="F1" s="1710"/>
      <c r="G1" s="1710"/>
      <c r="H1" s="1710"/>
      <c r="I1" s="1710"/>
      <c r="J1" s="1710"/>
      <c r="K1" s="1710"/>
      <c r="L1" s="1710"/>
      <c r="M1" s="1710"/>
      <c r="N1" s="1710"/>
      <c r="O1" s="1710"/>
      <c r="P1" s="1710"/>
      <c r="Q1" s="1710"/>
      <c r="R1" s="1710"/>
      <c r="S1" s="122"/>
      <c r="T1" s="122"/>
      <c r="U1" s="122"/>
      <c r="Y1" s="1"/>
      <c r="Z1" s="1"/>
      <c r="AA1" s="1"/>
      <c r="AB1" s="1"/>
      <c r="AC1" s="1"/>
      <c r="AD1" s="1"/>
      <c r="AE1" s="1"/>
      <c r="AF1" s="1"/>
      <c r="AG1" s="1"/>
      <c r="AH1" s="1"/>
      <c r="AI1" s="1"/>
      <c r="AJ1" s="1"/>
      <c r="AK1" s="122"/>
      <c r="AL1" s="122"/>
      <c r="AM1" s="122"/>
      <c r="AN1" s="122"/>
      <c r="AO1" s="122"/>
    </row>
    <row r="2" spans="1:41" ht="13.5" thickBot="1" x14ac:dyDescent="0.25">
      <c r="A2" s="122"/>
      <c r="B2" s="122"/>
      <c r="C2" s="122"/>
      <c r="D2" s="122"/>
      <c r="E2" s="122"/>
      <c r="F2" s="122"/>
      <c r="G2" s="3"/>
      <c r="H2" s="122"/>
      <c r="I2" s="122"/>
      <c r="J2" s="122"/>
      <c r="K2" s="122"/>
      <c r="L2" s="122"/>
      <c r="M2" s="122"/>
      <c r="N2" s="122"/>
      <c r="O2" s="122"/>
      <c r="P2" s="122"/>
      <c r="Q2" s="122"/>
      <c r="R2" s="122"/>
      <c r="S2" s="122"/>
      <c r="T2" s="122"/>
      <c r="U2" s="122"/>
      <c r="Y2" s="1"/>
      <c r="Z2" s="1"/>
      <c r="AA2" s="1"/>
      <c r="AB2" s="1"/>
      <c r="AC2" s="1"/>
      <c r="AD2" s="1"/>
      <c r="AE2" s="1"/>
      <c r="AF2" s="1"/>
      <c r="AG2" s="1"/>
      <c r="AH2" s="1"/>
      <c r="AI2" s="1"/>
      <c r="AJ2" s="1"/>
      <c r="AK2" s="122"/>
      <c r="AL2" s="122"/>
      <c r="AM2" s="122"/>
      <c r="AN2" s="122"/>
      <c r="AO2" s="122"/>
    </row>
    <row r="3" spans="1:41" ht="25.5" customHeight="1" x14ac:dyDescent="0.2">
      <c r="A3" s="1042" t="s">
        <v>187</v>
      </c>
      <c r="B3" s="1043"/>
      <c r="C3" s="1043"/>
      <c r="D3" s="1043"/>
      <c r="E3" s="1750" t="s">
        <v>531</v>
      </c>
      <c r="F3" s="1751"/>
      <c r="G3" s="1751"/>
      <c r="H3" s="1751"/>
      <c r="I3" s="1034">
        <f>'Cash Forecast_8A'!G3</f>
        <v>43101</v>
      </c>
      <c r="J3" s="1035" t="s">
        <v>47</v>
      </c>
      <c r="K3" s="1036"/>
      <c r="L3" s="1037">
        <f>'Cash Forecast_8A'!J3</f>
        <v>43190</v>
      </c>
      <c r="M3" s="1057"/>
      <c r="N3" s="1057"/>
      <c r="O3" s="1057"/>
      <c r="P3" s="1043"/>
      <c r="Q3" s="1043"/>
      <c r="R3" s="1043"/>
      <c r="S3" s="1043"/>
      <c r="T3" s="1043"/>
      <c r="U3" s="1043"/>
      <c r="V3" s="1043"/>
      <c r="W3" s="1043"/>
      <c r="X3" s="1044"/>
      <c r="Y3" s="1"/>
      <c r="Z3" s="1"/>
      <c r="AA3" s="1"/>
      <c r="AB3" s="1"/>
      <c r="AC3" s="1"/>
      <c r="AD3" s="1"/>
      <c r="AE3" s="1"/>
      <c r="AF3" s="1"/>
      <c r="AG3" s="1"/>
      <c r="AH3" s="1"/>
      <c r="AI3" s="1"/>
      <c r="AJ3" s="1"/>
      <c r="AK3" s="1"/>
      <c r="AL3" s="1"/>
      <c r="AM3" s="1"/>
      <c r="AN3" s="1"/>
      <c r="AO3" s="1"/>
    </row>
    <row r="4" spans="1:41" ht="27.75" customHeight="1" thickBot="1" x14ac:dyDescent="0.25">
      <c r="A4" s="1128"/>
      <c r="B4" s="1129"/>
      <c r="C4" s="1129"/>
      <c r="D4" s="1129"/>
      <c r="E4" s="1752" t="s">
        <v>530</v>
      </c>
      <c r="F4" s="1753"/>
      <c r="G4" s="1753"/>
      <c r="H4" s="1753"/>
      <c r="I4" s="1038" t="str">
        <f>'Cash Forecast_8A'!G4</f>
        <v>N/A</v>
      </c>
      <c r="J4" s="1039" t="s">
        <v>47</v>
      </c>
      <c r="K4" s="1040"/>
      <c r="L4" s="1041" t="str">
        <f>'Cash Forecast_8A'!J4</f>
        <v>N/A</v>
      </c>
      <c r="M4" s="1038"/>
      <c r="N4" s="1038"/>
      <c r="O4" s="1038"/>
      <c r="P4" s="1129"/>
      <c r="Q4" s="1129"/>
      <c r="R4" s="1129"/>
      <c r="S4" s="1129"/>
      <c r="T4" s="1129"/>
      <c r="U4" s="1129"/>
      <c r="V4" s="1129"/>
      <c r="W4" s="1129"/>
      <c r="X4" s="1130"/>
      <c r="Y4" s="1"/>
      <c r="Z4" s="1"/>
      <c r="AA4" s="1"/>
      <c r="AB4" s="1"/>
      <c r="AC4" s="1"/>
      <c r="AD4" s="1"/>
      <c r="AE4" s="1"/>
      <c r="AF4" s="1"/>
      <c r="AG4" s="1"/>
      <c r="AH4" s="1"/>
      <c r="AI4" s="1"/>
      <c r="AJ4" s="1"/>
      <c r="AK4" s="1"/>
      <c r="AL4" s="1"/>
      <c r="AM4" s="1"/>
      <c r="AN4" s="1"/>
      <c r="AO4" s="1"/>
    </row>
    <row r="5" spans="1:41" ht="18" x14ac:dyDescent="0.25">
      <c r="A5" s="1131" t="s">
        <v>109</v>
      </c>
      <c r="B5" s="1132"/>
      <c r="C5" s="1132"/>
      <c r="D5" s="1132"/>
      <c r="E5" s="1132"/>
      <c r="F5" s="1132"/>
      <c r="G5" s="1132"/>
      <c r="H5" s="1132"/>
      <c r="I5" s="1132"/>
      <c r="J5" s="46"/>
      <c r="K5" s="122"/>
      <c r="L5" s="122"/>
      <c r="M5" s="122"/>
      <c r="N5" s="122"/>
      <c r="O5" s="122"/>
      <c r="P5" s="122"/>
      <c r="Q5" s="122"/>
      <c r="R5" s="122"/>
      <c r="S5" s="122"/>
      <c r="T5" s="122"/>
      <c r="U5" s="122"/>
      <c r="Y5" s="1"/>
      <c r="Z5" s="1"/>
      <c r="AA5" s="1"/>
      <c r="AB5" s="1"/>
      <c r="AC5" s="1"/>
      <c r="AD5" s="1"/>
      <c r="AE5" s="1"/>
      <c r="AF5" s="1"/>
      <c r="AG5" s="1"/>
      <c r="AH5" s="1"/>
      <c r="AI5" s="1"/>
      <c r="AJ5" s="1"/>
      <c r="AK5" s="1"/>
      <c r="AL5" s="1"/>
      <c r="AM5" s="1"/>
      <c r="AN5" s="1"/>
      <c r="AO5" s="1"/>
    </row>
    <row r="6" spans="1:41" x14ac:dyDescent="0.2">
      <c r="A6" s="122"/>
      <c r="B6" s="122"/>
      <c r="C6" s="122"/>
      <c r="D6" s="122"/>
      <c r="E6" s="122"/>
      <c r="F6" s="122"/>
      <c r="G6" s="3"/>
      <c r="H6" s="122"/>
      <c r="I6" s="122"/>
      <c r="J6" s="122"/>
      <c r="K6" s="122"/>
      <c r="L6" s="122"/>
      <c r="M6" s="122"/>
      <c r="N6" s="122"/>
      <c r="O6" s="122"/>
      <c r="P6" s="122"/>
      <c r="Q6" s="122"/>
      <c r="R6" s="122"/>
      <c r="S6" s="122"/>
      <c r="T6" s="122"/>
      <c r="U6" s="122"/>
      <c r="Y6" s="1"/>
      <c r="Z6" s="1"/>
      <c r="AA6" s="1"/>
      <c r="AB6" s="1"/>
      <c r="AC6" s="1"/>
      <c r="AD6" s="1"/>
      <c r="AE6" s="1"/>
      <c r="AF6" s="1"/>
      <c r="AG6" s="1"/>
      <c r="AH6" s="1"/>
      <c r="AI6" s="1"/>
      <c r="AJ6" s="1"/>
      <c r="AK6" s="1"/>
      <c r="AL6" s="1"/>
      <c r="AM6" s="1"/>
      <c r="AN6" s="1"/>
      <c r="AO6" s="1"/>
    </row>
    <row r="7" spans="1:41" ht="26.1" customHeight="1" x14ac:dyDescent="0.2">
      <c r="A7" s="1748" t="s">
        <v>432</v>
      </c>
      <c r="B7" s="1748"/>
      <c r="C7" s="1748"/>
      <c r="D7" s="1748"/>
      <c r="E7" s="1748"/>
      <c r="F7" s="1748"/>
      <c r="G7" s="1748"/>
      <c r="H7" s="1748"/>
      <c r="I7" s="1748"/>
      <c r="J7" s="1748"/>
      <c r="K7" s="1748"/>
      <c r="L7" s="1748"/>
      <c r="M7" s="1748"/>
      <c r="N7" s="1748"/>
      <c r="O7" s="1748"/>
      <c r="P7" s="1748"/>
      <c r="Q7" s="1748"/>
      <c r="R7" s="1748"/>
      <c r="S7" s="1748"/>
      <c r="T7" s="1748"/>
      <c r="U7" s="1748"/>
      <c r="V7" s="1748"/>
      <c r="W7" s="1748"/>
      <c r="X7" s="1748"/>
      <c r="Y7" s="1"/>
      <c r="Z7" s="1"/>
      <c r="AA7" s="1"/>
      <c r="AB7" s="1"/>
      <c r="AC7" s="1"/>
      <c r="AD7" s="1"/>
      <c r="AE7" s="1"/>
      <c r="AF7" s="1"/>
      <c r="AG7" s="1"/>
      <c r="AH7" s="1"/>
      <c r="AI7" s="1"/>
      <c r="AJ7" s="1"/>
      <c r="AK7" s="1"/>
      <c r="AL7" s="1"/>
      <c r="AM7" s="1"/>
      <c r="AN7" s="1"/>
      <c r="AO7" s="1"/>
    </row>
    <row r="8" spans="1:41" ht="80.099999999999994" customHeight="1" x14ac:dyDescent="0.2">
      <c r="A8" s="122"/>
      <c r="B8" s="1133"/>
      <c r="C8" s="1133"/>
      <c r="D8" s="1133"/>
      <c r="E8" s="1133"/>
      <c r="F8" s="1133"/>
      <c r="G8" s="1134"/>
      <c r="H8" s="1133"/>
      <c r="I8" s="1133"/>
      <c r="J8" s="1133"/>
      <c r="K8" s="122"/>
      <c r="L8" s="122"/>
      <c r="M8" s="122"/>
      <c r="N8" s="122"/>
      <c r="O8" s="122"/>
      <c r="P8" s="1746" t="s">
        <v>433</v>
      </c>
      <c r="Q8" s="1746"/>
      <c r="R8" s="1746"/>
      <c r="S8" s="1746"/>
      <c r="T8" s="1746"/>
      <c r="U8" s="1746"/>
      <c r="V8" s="1746"/>
      <c r="W8" s="1746"/>
      <c r="X8" s="1746"/>
      <c r="Y8" s="1"/>
      <c r="Z8" s="1"/>
      <c r="AA8" s="1"/>
      <c r="AB8" s="1"/>
      <c r="AC8" s="1"/>
      <c r="AD8" s="1"/>
      <c r="AE8" s="1"/>
      <c r="AF8" s="1"/>
      <c r="AG8" s="1"/>
      <c r="AH8" s="1"/>
      <c r="AI8" s="1"/>
      <c r="AJ8" s="1"/>
      <c r="AK8" s="1"/>
      <c r="AL8" s="1"/>
      <c r="AM8" s="1"/>
      <c r="AN8" s="1"/>
      <c r="AO8" s="1"/>
    </row>
    <row r="9" spans="1:41" x14ac:dyDescent="0.2">
      <c r="A9" s="122"/>
      <c r="B9" s="122"/>
      <c r="C9" s="122"/>
      <c r="D9" s="122"/>
      <c r="E9" s="122"/>
      <c r="F9" s="122"/>
      <c r="G9" s="3"/>
      <c r="H9" s="122"/>
      <c r="I9" s="122"/>
      <c r="J9" s="122"/>
      <c r="K9" s="122"/>
      <c r="L9" s="122"/>
      <c r="M9" s="122"/>
      <c r="N9" s="122"/>
      <c r="O9" s="122"/>
      <c r="P9" s="122"/>
      <c r="Q9" s="122"/>
      <c r="R9" s="122"/>
      <c r="S9" s="122"/>
      <c r="T9" s="122"/>
      <c r="U9" s="122"/>
      <c r="Y9" s="1"/>
      <c r="Z9" s="1"/>
      <c r="AA9" s="1"/>
      <c r="AB9" s="1"/>
      <c r="AC9" s="1"/>
      <c r="AD9" s="1"/>
      <c r="AE9" s="1"/>
      <c r="AF9" s="1"/>
      <c r="AG9" s="1"/>
      <c r="AH9" s="1"/>
      <c r="AI9" s="1"/>
      <c r="AJ9" s="1"/>
      <c r="AK9" s="1"/>
      <c r="AL9" s="1"/>
      <c r="AM9" s="1"/>
      <c r="AN9" s="1"/>
      <c r="AO9" s="1"/>
    </row>
    <row r="10" spans="1:41" ht="18.75" thickBot="1" x14ac:dyDescent="0.3">
      <c r="A10" s="1"/>
      <c r="B10" s="1749" t="s">
        <v>434</v>
      </c>
      <c r="C10" s="1749"/>
      <c r="D10" s="1749"/>
      <c r="E10" s="1749"/>
      <c r="F10" s="1135" t="s">
        <v>60</v>
      </c>
      <c r="G10" s="1136"/>
      <c r="H10" s="1749" t="s">
        <v>435</v>
      </c>
      <c r="I10" s="1749"/>
      <c r="J10" s="1137" t="s">
        <v>60</v>
      </c>
      <c r="K10" s="122"/>
      <c r="L10" s="122"/>
      <c r="M10" s="122"/>
      <c r="N10" s="122"/>
      <c r="O10" s="122"/>
      <c r="P10" s="1740"/>
      <c r="Q10" s="1740"/>
      <c r="R10" s="1740"/>
      <c r="S10" s="1740"/>
      <c r="T10" s="1740"/>
      <c r="U10" s="1740"/>
      <c r="V10" s="1740"/>
      <c r="W10" s="1740"/>
      <c r="X10" s="1740"/>
      <c r="Y10" s="1"/>
      <c r="Z10" s="1"/>
      <c r="AA10" s="1"/>
      <c r="AB10" s="1"/>
      <c r="AC10" s="1"/>
      <c r="AD10" s="1"/>
      <c r="AE10" s="1"/>
      <c r="AF10" s="1"/>
      <c r="AG10" s="1"/>
      <c r="AH10" s="1"/>
      <c r="AI10" s="1"/>
      <c r="AJ10" s="1"/>
      <c r="AK10" s="1"/>
      <c r="AL10" s="1"/>
      <c r="AM10" s="1"/>
      <c r="AN10" s="1"/>
      <c r="AO10" s="1"/>
    </row>
    <row r="11" spans="1:41" ht="28.5" customHeight="1" thickBot="1" x14ac:dyDescent="0.25">
      <c r="A11" s="1138" t="s">
        <v>436</v>
      </c>
      <c r="B11" s="1139" t="str">
        <f>'Cash Forecast_8A'!C85</f>
        <v>01/Jan/2018-31/Mar/2018</v>
      </c>
      <c r="C11" s="1140" t="str">
        <f>'Cash Forecast_8A'!D85</f>
        <v/>
      </c>
      <c r="D11" s="1140" t="str">
        <f>'Cash Forecast_8A'!E85</f>
        <v/>
      </c>
      <c r="E11" s="1140" t="str">
        <f>'Cash Forecast_8A'!F85</f>
        <v/>
      </c>
      <c r="F11" s="1141"/>
      <c r="G11" s="395"/>
      <c r="H11" s="1139" t="str">
        <f>'Cash Forecast_8A'!H85</f>
        <v/>
      </c>
      <c r="I11" s="1140" t="str">
        <f>'Cash Forecast_8A'!I85</f>
        <v/>
      </c>
      <c r="J11" s="1142"/>
      <c r="K11" s="122"/>
      <c r="L11" s="122"/>
      <c r="M11" s="122"/>
      <c r="N11" s="122"/>
      <c r="O11" s="122"/>
      <c r="P11" s="1740"/>
      <c r="Q11" s="1740"/>
      <c r="R11" s="1740"/>
      <c r="S11" s="1740"/>
      <c r="T11" s="1740"/>
      <c r="U11" s="1740"/>
      <c r="V11" s="1740"/>
      <c r="W11" s="1740"/>
      <c r="X11" s="1740"/>
      <c r="Y11" s="1"/>
      <c r="Z11" s="1"/>
      <c r="AA11" s="1"/>
      <c r="AB11" s="1"/>
      <c r="AC11" s="1"/>
      <c r="AD11" s="1"/>
      <c r="AE11" s="1"/>
      <c r="AF11" s="1"/>
      <c r="AG11" s="1"/>
      <c r="AH11" s="1"/>
      <c r="AI11" s="1"/>
      <c r="AJ11" s="1"/>
      <c r="AK11" s="1"/>
      <c r="AL11" s="1"/>
      <c r="AM11" s="1"/>
      <c r="AN11" s="1"/>
      <c r="AO11" s="1"/>
    </row>
    <row r="12" spans="1:41" ht="15" thickBot="1" x14ac:dyDescent="0.25">
      <c r="A12" s="1143" t="s">
        <v>426</v>
      </c>
      <c r="B12" s="1019">
        <f>B101</f>
        <v>86035.733999999997</v>
      </c>
      <c r="C12" s="1045">
        <f>C101</f>
        <v>0</v>
      </c>
      <c r="D12" s="1046">
        <f>D101</f>
        <v>0</v>
      </c>
      <c r="E12" s="1047">
        <f>E101</f>
        <v>0</v>
      </c>
      <c r="F12" s="1014">
        <f>SUM(B12:E12)</f>
        <v>86035.733999999997</v>
      </c>
      <c r="G12" s="1"/>
      <c r="H12" s="1048">
        <f>G101</f>
        <v>0</v>
      </c>
      <c r="I12" s="1046">
        <f>H101</f>
        <v>0</v>
      </c>
      <c r="J12" s="1014">
        <f>SUM(H12:I12)</f>
        <v>0</v>
      </c>
      <c r="K12" s="1015">
        <f>F12+J12</f>
        <v>86035.733999999997</v>
      </c>
      <c r="L12" s="122"/>
      <c r="M12" s="122"/>
      <c r="N12" s="122"/>
      <c r="O12" s="122"/>
      <c r="P12" s="1740"/>
      <c r="Q12" s="1740"/>
      <c r="R12" s="1740"/>
      <c r="S12" s="1740"/>
      <c r="T12" s="1740"/>
      <c r="U12" s="1740"/>
      <c r="V12" s="1740"/>
      <c r="W12" s="1740"/>
      <c r="X12" s="1740"/>
      <c r="Y12" s="1"/>
      <c r="Z12" s="1"/>
      <c r="AA12" s="1"/>
      <c r="AB12" s="1"/>
      <c r="AC12" s="1"/>
      <c r="AD12" s="1"/>
      <c r="AE12" s="1"/>
      <c r="AF12" s="1"/>
      <c r="AG12" s="1"/>
      <c r="AH12" s="1"/>
      <c r="AI12" s="1"/>
      <c r="AJ12" s="1"/>
      <c r="AK12" s="1"/>
      <c r="AL12" s="1"/>
      <c r="AM12" s="1"/>
      <c r="AN12" s="1"/>
      <c r="AO12" s="1"/>
    </row>
    <row r="13" spans="1:41" ht="15" thickBot="1" x14ac:dyDescent="0.25">
      <c r="A13" s="1143" t="s">
        <v>437</v>
      </c>
      <c r="B13" s="1012">
        <f>'Cash Forecast_8A'!C95</f>
        <v>1074149</v>
      </c>
      <c r="C13" s="1013">
        <f>'Cash Forecast_8A'!D95</f>
        <v>266688</v>
      </c>
      <c r="D13" s="1012">
        <f>'Cash Forecast_8A'!E95</f>
        <v>207852</v>
      </c>
      <c r="E13" s="1013">
        <f>'Cash Forecast_8A'!F95</f>
        <v>0</v>
      </c>
      <c r="F13" s="1014">
        <f>SUM(B13:E13)</f>
        <v>1548689</v>
      </c>
      <c r="G13" s="1"/>
      <c r="H13" s="1012">
        <f>'Cash Forecast_8A'!H95</f>
        <v>0</v>
      </c>
      <c r="I13" s="1013">
        <f>'Cash Forecast_8A'!I95</f>
        <v>0</v>
      </c>
      <c r="J13" s="1014">
        <f>SUM(H13:I13)</f>
        <v>0</v>
      </c>
      <c r="K13" s="1015">
        <f>F13+J13</f>
        <v>1548689</v>
      </c>
      <c r="L13" s="122"/>
      <c r="M13" s="122"/>
      <c r="N13" s="1144"/>
      <c r="O13" s="122"/>
      <c r="P13" s="1740"/>
      <c r="Q13" s="1740"/>
      <c r="R13" s="1740"/>
      <c r="S13" s="1740"/>
      <c r="T13" s="1740"/>
      <c r="U13" s="1740"/>
      <c r="V13" s="1740"/>
      <c r="W13" s="1740"/>
      <c r="X13" s="1740"/>
      <c r="Y13" s="1"/>
      <c r="Z13" s="1"/>
      <c r="AA13" s="1"/>
      <c r="AB13" s="1"/>
      <c r="AC13" s="1"/>
      <c r="AD13" s="1"/>
      <c r="AE13" s="1"/>
      <c r="AF13" s="1"/>
      <c r="AG13" s="1"/>
      <c r="AH13" s="1"/>
      <c r="AI13" s="1"/>
      <c r="AJ13" s="1"/>
      <c r="AK13" s="1"/>
      <c r="AL13" s="1"/>
      <c r="AM13" s="1"/>
      <c r="AN13" s="1"/>
      <c r="AO13" s="1"/>
    </row>
    <row r="14" spans="1:41" ht="42.75" x14ac:dyDescent="0.2">
      <c r="A14" s="1145" t="s">
        <v>615</v>
      </c>
      <c r="B14" s="1012">
        <f>'PR Cash Reconciliation_2A,B,C,D'!D32</f>
        <v>1339373.4599999997</v>
      </c>
      <c r="C14" s="1146"/>
      <c r="D14" s="1146"/>
      <c r="E14" s="1146"/>
      <c r="F14" s="1147"/>
      <c r="G14" s="1"/>
      <c r="H14" s="1148"/>
      <c r="I14" s="1146"/>
      <c r="J14" s="1147"/>
      <c r="K14" s="122"/>
      <c r="L14" s="122"/>
      <c r="M14" s="122"/>
      <c r="N14" s="122"/>
      <c r="O14" s="122"/>
      <c r="P14" s="1740"/>
      <c r="Q14" s="1740"/>
      <c r="R14" s="1740"/>
      <c r="S14" s="1740"/>
      <c r="T14" s="1740"/>
      <c r="U14" s="1740"/>
      <c r="V14" s="1740"/>
      <c r="W14" s="1740"/>
      <c r="X14" s="1740"/>
      <c r="Y14" s="1"/>
      <c r="Z14" s="1"/>
      <c r="AA14" s="1"/>
      <c r="AB14" s="1"/>
      <c r="AC14" s="1"/>
      <c r="AD14" s="1"/>
      <c r="AE14" s="1"/>
      <c r="AF14" s="1"/>
      <c r="AG14" s="1"/>
      <c r="AH14" s="1"/>
      <c r="AI14" s="1"/>
      <c r="AJ14" s="1"/>
      <c r="AK14" s="1"/>
      <c r="AL14" s="1"/>
      <c r="AM14" s="1"/>
      <c r="AN14" s="1"/>
      <c r="AO14" s="1"/>
    </row>
    <row r="15" spans="1:41" ht="33.75" customHeight="1" x14ac:dyDescent="0.2">
      <c r="A15" s="1145" t="s">
        <v>605</v>
      </c>
      <c r="B15" s="1172"/>
      <c r="C15" s="1146"/>
      <c r="D15" s="1146"/>
      <c r="E15" s="1146"/>
      <c r="F15" s="1147"/>
      <c r="G15" s="1"/>
      <c r="H15" s="1148"/>
      <c r="I15" s="1146"/>
      <c r="J15" s="1147"/>
      <c r="K15" s="1149"/>
      <c r="L15" s="1747" t="str">
        <f>IF(AND(ROUND(SUM(B15:B16),0)=ROUND('PR Cash Reconciliation_2A,B,C,D'!D38,0)),"Cash in Transit OK","WARNING - Cash in Transit not matching")</f>
        <v>Cash in Transit OK</v>
      </c>
      <c r="M15" s="1150"/>
      <c r="N15" s="1150"/>
      <c r="O15" s="1151"/>
      <c r="P15" s="1740"/>
      <c r="Q15" s="1740"/>
      <c r="R15" s="1740"/>
      <c r="S15" s="1740"/>
      <c r="T15" s="1740"/>
      <c r="U15" s="1740"/>
      <c r="V15" s="1740"/>
      <c r="W15" s="1740"/>
      <c r="X15" s="1740"/>
      <c r="Y15" s="1"/>
      <c r="Z15" s="1"/>
      <c r="AA15" s="1"/>
      <c r="AB15" s="1"/>
      <c r="AC15" s="1"/>
      <c r="AD15" s="1"/>
      <c r="AE15" s="1"/>
      <c r="AF15" s="1"/>
      <c r="AG15" s="1"/>
      <c r="AH15" s="1"/>
      <c r="AI15" s="1"/>
      <c r="AJ15" s="1"/>
      <c r="AK15" s="1"/>
      <c r="AL15" s="1"/>
      <c r="AM15" s="1"/>
      <c r="AN15" s="1"/>
      <c r="AO15" s="1"/>
    </row>
    <row r="16" spans="1:41" ht="28.5" x14ac:dyDescent="0.2">
      <c r="A16" s="1145" t="s">
        <v>581</v>
      </c>
      <c r="B16" s="1172">
        <v>0</v>
      </c>
      <c r="C16" s="1152"/>
      <c r="D16" s="1152"/>
      <c r="E16" s="1152"/>
      <c r="F16" s="1153"/>
      <c r="G16" s="1"/>
      <c r="H16" s="1154"/>
      <c r="I16" s="1152"/>
      <c r="J16" s="1153"/>
      <c r="K16" s="122"/>
      <c r="L16" s="1747"/>
      <c r="M16" s="1150"/>
      <c r="N16" s="1150"/>
      <c r="O16" s="1151"/>
      <c r="P16" s="1740"/>
      <c r="Q16" s="1740"/>
      <c r="R16" s="1740"/>
      <c r="S16" s="1740"/>
      <c r="T16" s="1740"/>
      <c r="U16" s="1740"/>
      <c r="V16" s="1740"/>
      <c r="W16" s="1740"/>
      <c r="X16" s="1740"/>
      <c r="Y16" s="1"/>
      <c r="Z16" s="1"/>
      <c r="AA16" s="1"/>
      <c r="AB16" s="1"/>
      <c r="AC16" s="1"/>
      <c r="AD16" s="1"/>
      <c r="AE16" s="1"/>
      <c r="AF16" s="1"/>
      <c r="AG16" s="1"/>
      <c r="AH16" s="1"/>
      <c r="AI16" s="1"/>
      <c r="AJ16" s="1"/>
      <c r="AK16" s="1"/>
      <c r="AL16" s="1"/>
      <c r="AM16" s="1"/>
      <c r="AN16" s="1"/>
      <c r="AO16" s="1"/>
    </row>
    <row r="17" spans="1:24" ht="38.25" customHeight="1" x14ac:dyDescent="0.2">
      <c r="A17" s="1145" t="s">
        <v>606</v>
      </c>
      <c r="B17" s="1172"/>
      <c r="C17" s="1152"/>
      <c r="D17" s="1152"/>
      <c r="E17" s="1152"/>
      <c r="F17" s="1153"/>
      <c r="G17" s="1"/>
      <c r="H17" s="1154"/>
      <c r="I17" s="1152"/>
      <c r="J17" s="1153"/>
      <c r="K17" s="1149"/>
      <c r="L17" s="1747" t="str">
        <f>IF(AND(ROUND(SUM(B17:B18),0)=ROUND('PR Cash Reconciliation_2A,B,C,D'!D39,0)),"Cash in Transit OK","WARNING - Cash in Transit not matching")</f>
        <v>Cash in Transit OK</v>
      </c>
      <c r="M17" s="1150"/>
      <c r="N17" s="1150"/>
      <c r="O17" s="1151"/>
      <c r="P17" s="1740"/>
      <c r="Q17" s="1740"/>
      <c r="R17" s="1740"/>
      <c r="S17" s="1740"/>
      <c r="T17" s="1740"/>
      <c r="U17" s="1740"/>
      <c r="V17" s="1740"/>
      <c r="W17" s="1740"/>
      <c r="X17" s="1740"/>
    </row>
    <row r="18" spans="1:24" ht="43.5" thickBot="1" x14ac:dyDescent="0.25">
      <c r="A18" s="1145" t="s">
        <v>582</v>
      </c>
      <c r="B18" s="1172">
        <f>86036+3530.81</f>
        <v>89566.81</v>
      </c>
      <c r="C18" s="1152"/>
      <c r="D18" s="1152"/>
      <c r="E18" s="1152"/>
      <c r="F18" s="1153"/>
      <c r="G18" s="1"/>
      <c r="H18" s="1154"/>
      <c r="I18" s="1152"/>
      <c r="J18" s="1153"/>
      <c r="K18" s="1149"/>
      <c r="L18" s="1747"/>
      <c r="M18" s="1150"/>
      <c r="N18" s="1150"/>
      <c r="O18" s="1151"/>
      <c r="P18" s="1740"/>
      <c r="Q18" s="1740"/>
      <c r="R18" s="1740"/>
      <c r="S18" s="1740"/>
      <c r="T18" s="1740"/>
      <c r="U18" s="1740"/>
      <c r="V18" s="1740"/>
      <c r="W18" s="1740"/>
      <c r="X18" s="1740"/>
    </row>
    <row r="19" spans="1:24" ht="15" thickBot="1" x14ac:dyDescent="0.25">
      <c r="A19" s="1155" t="s">
        <v>274</v>
      </c>
      <c r="B19" s="1016">
        <f>IF(B13=0,0,IF(AND(B103-$B$14-$B$15-$B$17&lt;=0,B25+B26&lt;=0),0,IF(AND(B103-$B$14-$B$15-$B$17&lt;=0,B25+B26&gt;0),B25+B26,IF(AND(B13-$B$14-$B$15-$B$17&lt;=B25+B26,B25+B26&gt;0),B25+B26,B103-$B$14-$B$15-$B$17+B25+B26))))</f>
        <v>0</v>
      </c>
      <c r="C19" s="1017">
        <f>IF(C13=0,0,IF(AND(B103+C103-$B$14-$B$15-$B$17&lt;=0,C25+C26&lt;=0),0,IF(AND(B103+C103-$B$14-$B$15-$B$17&lt;=0,C25+C26&gt;0),C25+C26,IF(AND(B13+C13-$B$14-$B$15-$B$17&lt;=C25+C26,C25+C26&gt;0),C25+C26,B103+C103-$B$14-$B$15-$B$17-B24+C25+C26))))</f>
        <v>1463.5400000002701</v>
      </c>
      <c r="D19" s="1017">
        <f>IF(D13=0,0,IF(AND(B103+C103+D103-$B$14-$B$15-$B$17&lt;=0,D25+D26&lt;=0),0,IF(AND(B103+C103+D103-$B$14-$B$15-$B$17&lt;=0,D25+D26&gt;0),D25+D26,IF(AND(B13+C13+D13-$B$14-$B$15-$B$17&lt;=D25+D26,D25+D26&gt;0),D25+D26,B103+C103+D103-$B$14-$B$15-$B$17-B24-C24+D25+D26))))</f>
        <v>207852</v>
      </c>
      <c r="E19" s="1017">
        <f>IF(E13=0,0,IF(AND(B103+C103+D103+E103-$B$14-$B$15-$B$17&lt;=0,E25+E26&lt;=0),0,IF(AND(B103+C103+D103+E103-$B$14-$B$15-$B$17&lt;=0,E25+E26&gt;0),E25+E26,IF(AND(B13+C13+D13+E13-$B$14-$B$15-$B$17&lt;=E25+E26,E25+E26&gt;0),E25+E26,B103+C103+D103+E103-$B$14-$B$15-$B$17-B24-C24-D24+E25+E26))))</f>
        <v>0</v>
      </c>
      <c r="F19" s="1018">
        <f>SUM(B19:E20)</f>
        <v>209315.54000000027</v>
      </c>
      <c r="G19" s="1"/>
      <c r="H19" s="1016">
        <f>IF(H13=0,0,IF(AND(B103+C103+D103+E103+G103-$B$14-$B$15-$B$17&lt;=0,H25+H26&lt;=0),0,IF(AND(B103+C103+D103+E103+G103-$B$14-$B$15-$B$17&lt;=0,H25+H26&gt;0),H25+H26,IF(AND(B13+C13+D13+E13+H13-$B$14-$B$15-$B$17&lt;=H25+H26,H25+H26&gt;0),H25+H26,B103+C103+D103+E103+G103-$B$14-$B$15-$B$17-B24-C24-D24-E24+H25+H26))))</f>
        <v>0</v>
      </c>
      <c r="I19" s="1017">
        <f>IF(I13=0,0,IF(AND(B103+C103+D103+E103+G103+H103-$B$14-$B$15-$B$17&lt;=0,I25+I26&lt;=0),0,IF(AND(B103+C103+D103+E103+G103+H103-$B$14-$B$15-$B$17&lt;=0,I25+I26&gt;0),I25+I26,IF(AND(B13+C13+D13+E13+H13+I13-$B$14-$B$15-$B$17&lt;=I25+I26,I25+I26&gt;0),I25+I26,B103+C103+D103+E103+G103+H103-$B$14-$B$15-$B$17-B24-C24-D24-E24-H24+I25+I26))))</f>
        <v>0</v>
      </c>
      <c r="J19" s="1018">
        <f>SUM(H19:I19)</f>
        <v>0</v>
      </c>
      <c r="K19" s="1015">
        <f>J19+F19</f>
        <v>209315.54000000027</v>
      </c>
      <c r="L19" s="122"/>
      <c r="M19" s="122"/>
      <c r="N19" s="122"/>
      <c r="O19" s="122"/>
      <c r="P19" s="1740"/>
      <c r="Q19" s="1740"/>
      <c r="R19" s="1740"/>
      <c r="S19" s="1740"/>
      <c r="T19" s="1740"/>
      <c r="U19" s="1740"/>
      <c r="V19" s="1740"/>
      <c r="W19" s="1740"/>
      <c r="X19" s="1740"/>
    </row>
    <row r="20" spans="1:24" x14ac:dyDescent="0.2">
      <c r="A20" s="122"/>
      <c r="B20" s="1156"/>
      <c r="C20" s="122"/>
      <c r="D20" s="122"/>
      <c r="E20" s="122"/>
      <c r="F20" s="122"/>
      <c r="G20" s="3"/>
      <c r="H20" s="122"/>
      <c r="I20" s="122"/>
      <c r="J20" s="122"/>
      <c r="K20" s="122"/>
      <c r="L20" s="122"/>
      <c r="M20" s="122"/>
      <c r="N20" s="122"/>
      <c r="O20" s="122"/>
      <c r="P20" s="1740"/>
      <c r="Q20" s="1740"/>
      <c r="R20" s="1740"/>
      <c r="S20" s="1740"/>
      <c r="T20" s="1740"/>
      <c r="U20" s="1740"/>
      <c r="V20" s="1740"/>
      <c r="W20" s="1740"/>
      <c r="X20" s="1740"/>
    </row>
    <row r="21" spans="1:24" x14ac:dyDescent="0.2">
      <c r="A21" s="1157"/>
      <c r="B21" s="1144"/>
      <c r="C21" s="1144"/>
      <c r="D21" s="1144"/>
      <c r="E21" s="1144"/>
      <c r="F21" s="122"/>
      <c r="G21" s="1158"/>
      <c r="H21" s="1144"/>
      <c r="I21" s="1144"/>
      <c r="J21" s="122"/>
      <c r="K21" s="1159"/>
      <c r="L21" s="122"/>
      <c r="M21" s="122"/>
      <c r="N21" s="122"/>
      <c r="O21" s="122"/>
      <c r="P21" s="1740"/>
      <c r="Q21" s="1740"/>
      <c r="R21" s="1740"/>
      <c r="S21" s="1740"/>
      <c r="T21" s="1740"/>
      <c r="U21" s="1740"/>
      <c r="V21" s="1740"/>
      <c r="W21" s="1740"/>
      <c r="X21" s="1740"/>
    </row>
    <row r="22" spans="1:24" x14ac:dyDescent="0.2">
      <c r="A22" s="122"/>
      <c r="B22" s="1144"/>
      <c r="C22" s="1144"/>
      <c r="D22" s="1144"/>
      <c r="E22" s="1144"/>
      <c r="F22" s="1144"/>
      <c r="G22" s="3"/>
      <c r="H22" s="1144"/>
      <c r="I22" s="1144"/>
      <c r="J22" s="122"/>
      <c r="K22" s="122"/>
      <c r="L22" s="122"/>
      <c r="M22" s="122"/>
      <c r="N22" s="122"/>
      <c r="O22" s="122"/>
      <c r="P22" s="1740"/>
      <c r="Q22" s="1740"/>
      <c r="R22" s="1740"/>
      <c r="S22" s="1740"/>
      <c r="T22" s="1740"/>
      <c r="U22" s="1740"/>
      <c r="V22" s="1740"/>
      <c r="W22" s="1740"/>
      <c r="X22" s="1740"/>
    </row>
    <row r="23" spans="1:24" ht="13.5" thickBot="1" x14ac:dyDescent="0.25">
      <c r="A23" s="122"/>
      <c r="B23" s="122"/>
      <c r="C23" s="122"/>
      <c r="D23" s="122"/>
      <c r="E23" s="122"/>
      <c r="F23" s="122"/>
      <c r="G23" s="3"/>
      <c r="H23" s="122"/>
      <c r="I23" s="122"/>
      <c r="J23" s="122"/>
      <c r="K23" s="122"/>
      <c r="L23" s="122"/>
      <c r="M23" s="122"/>
      <c r="N23" s="122"/>
      <c r="O23" s="122"/>
      <c r="P23" s="1740"/>
      <c r="Q23" s="1740"/>
      <c r="R23" s="1740"/>
      <c r="S23" s="1740"/>
      <c r="T23" s="1740"/>
      <c r="U23" s="1740"/>
      <c r="V23" s="1740"/>
      <c r="W23" s="1740"/>
      <c r="X23" s="1740"/>
    </row>
    <row r="24" spans="1:24" ht="28.5" x14ac:dyDescent="0.2">
      <c r="A24" s="1160" t="s">
        <v>427</v>
      </c>
      <c r="B24" s="1050">
        <f>IF(B19=0,0,B19-SUM(B25:B26))</f>
        <v>0</v>
      </c>
      <c r="C24" s="1051">
        <f>IF(C19=0,0,C19-SUM(C25:C26))</f>
        <v>1463.5400000002701</v>
      </c>
      <c r="D24" s="1051">
        <f>IF(D19=0,0,D19-SUM(D25:D26))</f>
        <v>207852</v>
      </c>
      <c r="E24" s="1051">
        <f>IF(E19=0,0,E19-SUM(E25:E26))</f>
        <v>0</v>
      </c>
      <c r="F24" s="1052">
        <f>SUM(B24:E24)</f>
        <v>209315.54000000027</v>
      </c>
      <c r="G24" s="1"/>
      <c r="H24" s="1050">
        <f>H19-SUM(H25:H26)</f>
        <v>0</v>
      </c>
      <c r="I24" s="1051">
        <f>I19-SUM(I25:I26)</f>
        <v>0</v>
      </c>
      <c r="J24" s="1052">
        <f>SUM(H24:I24)</f>
        <v>0</v>
      </c>
      <c r="K24" s="1106" t="str">
        <f>IF(AND(ROUND(F24+J24,0)=ROUND(F103+I103-B14-B15-B17,0)),"OK","WARNING - Sum not matching")</f>
        <v>OK</v>
      </c>
      <c r="L24" s="122"/>
      <c r="M24" s="122"/>
      <c r="N24" s="122"/>
      <c r="O24" s="122"/>
      <c r="P24" s="1740"/>
      <c r="Q24" s="1740"/>
      <c r="R24" s="1740"/>
      <c r="S24" s="1740"/>
      <c r="T24" s="1740"/>
      <c r="U24" s="1740"/>
      <c r="V24" s="1740"/>
      <c r="W24" s="1740"/>
      <c r="X24" s="1740"/>
    </row>
    <row r="25" spans="1:24" ht="42.75" x14ac:dyDescent="0.2">
      <c r="A25" s="1161" t="s">
        <v>428</v>
      </c>
      <c r="B25" s="1053">
        <f>IF('Request and Recommendation_8B'!B102-$B$16-$B$18&lt;=0,0,'Request and Recommendation_8B'!B102-$B$16-$B$18)</f>
        <v>0</v>
      </c>
      <c r="C25" s="1049">
        <f>IF(('Request and Recommendation_8B'!C102+'Request and Recommendation_8B'!B102)-$B$16-$B$18&lt;=0,0,('Request and Recommendation_8B'!C102+'Request and Recommendation_8B'!B102)-B25-$B$16-$B$18)</f>
        <v>0</v>
      </c>
      <c r="D25" s="1049">
        <f>IF(('Request and Recommendation_8B'!D102+'Request and Recommendation_8B'!C102+'Request and Recommendation_8B'!B102)-$B$16-$B$18&lt;=0,0,('Request and Recommendation_8B'!D102+'Request and Recommendation_8B'!C102+'Request and Recommendation_8B'!B102)-B25-C25-$B$16-$B$18)</f>
        <v>0</v>
      </c>
      <c r="E25" s="1049">
        <f>IF(('Request and Recommendation_8B'!E102+'Request and Recommendation_8B'!D102+'Request and Recommendation_8B'!C102+'Request and Recommendation_8B'!B102)-$B$16-$B$18&lt;=0,0,('Request and Recommendation_8B'!E102+'Request and Recommendation_8B'!D102+'Request and Recommendation_8B'!C102+'Request and Recommendation_8B'!B102)-B25-C25-D25-$B$16-$B$18)</f>
        <v>0</v>
      </c>
      <c r="F25" s="1054">
        <f>SUM(B25:E25)</f>
        <v>0</v>
      </c>
      <c r="G25" s="1"/>
      <c r="H25" s="1053">
        <f>IF(('Request and Recommendation_8B'!G102+'Request and Recommendation_8B'!E102+'Request and Recommendation_8B'!D102+'Request and Recommendation_8B'!C102+'Request and Recommendation_8B'!B102)-$B$16-$B$18&lt;=0,0,('Request and Recommendation_8B'!G102+'Request and Recommendation_8B'!E102+'Request and Recommendation_8B'!D102+'Request and Recommendation_8B'!C102+'Request and Recommendation_8B'!B102)-B25-C25-D25-E25-$B$16-$B$18)</f>
        <v>0</v>
      </c>
      <c r="I25" s="1049">
        <f>IF(('Request and Recommendation_8B'!H102+'Request and Recommendation_8B'!G102+'Request and Recommendation_8B'!E102+'Request and Recommendation_8B'!D102+'Request and Recommendation_8B'!C102+'Request and Recommendation_8B'!B102)-$B$16-$B$18&lt;=0,0,('Request and Recommendation_8B'!H102+'Request and Recommendation_8B'!G102+'Request and Recommendation_8B'!E102+'Request and Recommendation_8B'!D102+'Request and Recommendation_8B'!C102+'Request and Recommendation_8B'!B102)-B25-C25-D25-E25-H25-$B$16-$B$18)</f>
        <v>0</v>
      </c>
      <c r="J25" s="1054">
        <f>SUM(H25:I25)</f>
        <v>0</v>
      </c>
      <c r="K25" s="1106" t="str">
        <f>IF(AND(ROUND(F25+J25,0)=ROUND(F102+I102-B16-B18,0)),"OK","WARNING - Sum not matching")</f>
        <v>WARNING - Sum not matching</v>
      </c>
      <c r="L25" s="122"/>
      <c r="M25" s="122"/>
      <c r="N25" s="122"/>
      <c r="O25" s="122"/>
      <c r="P25" s="1740"/>
      <c r="Q25" s="1740"/>
      <c r="R25" s="1740"/>
      <c r="S25" s="1740"/>
      <c r="T25" s="1740"/>
      <c r="U25" s="1740"/>
      <c r="V25" s="1740"/>
      <c r="W25" s="1740"/>
      <c r="X25" s="1740"/>
    </row>
    <row r="26" spans="1:24" ht="29.25" thickBot="1" x14ac:dyDescent="0.25">
      <c r="A26" s="1161" t="s">
        <v>438</v>
      </c>
      <c r="B26" s="1016">
        <f>'Request and Recommendation_8B'!B104</f>
        <v>0</v>
      </c>
      <c r="C26" s="1017">
        <f>'Request and Recommendation_8B'!C104</f>
        <v>0</v>
      </c>
      <c r="D26" s="1017">
        <f>'Request and Recommendation_8B'!D104</f>
        <v>0</v>
      </c>
      <c r="E26" s="1017">
        <f>'Request and Recommendation_8B'!E104</f>
        <v>0</v>
      </c>
      <c r="F26" s="1018">
        <f>SUM(B26:E26)</f>
        <v>0</v>
      </c>
      <c r="G26" s="1"/>
      <c r="H26" s="1016">
        <f>'Request and Recommendation_8B'!G104</f>
        <v>0</v>
      </c>
      <c r="I26" s="1017">
        <f>'Request and Recommendation_8B'!H104</f>
        <v>0</v>
      </c>
      <c r="J26" s="1018">
        <f>SUM(H26:I26)</f>
        <v>0</v>
      </c>
      <c r="K26" s="1106" t="str">
        <f>IF(AND(ROUND(F26+J26,0)=ROUND(F104+I104,0)),"OK","WARNING - Sum not matching")</f>
        <v>OK</v>
      </c>
      <c r="L26" s="122"/>
      <c r="M26" s="122"/>
      <c r="N26" s="122"/>
      <c r="O26" s="122"/>
      <c r="P26" s="1740"/>
      <c r="Q26" s="1740"/>
      <c r="R26" s="1740"/>
      <c r="S26" s="1740"/>
      <c r="T26" s="1740"/>
      <c r="U26" s="1740"/>
      <c r="V26" s="1740"/>
      <c r="W26" s="1740"/>
      <c r="X26" s="1740"/>
    </row>
    <row r="27" spans="1:24" ht="15" thickBot="1" x14ac:dyDescent="0.25">
      <c r="A27" s="1155" t="s">
        <v>274</v>
      </c>
      <c r="B27" s="1020">
        <f>SUM(B24:B26)</f>
        <v>0</v>
      </c>
      <c r="C27" s="1021">
        <f>SUM(C24:C26)</f>
        <v>1463.5400000002701</v>
      </c>
      <c r="D27" s="1021">
        <f>SUM(D24:D26)</f>
        <v>207852</v>
      </c>
      <c r="E27" s="1021">
        <f>SUM(E24:E26)</f>
        <v>0</v>
      </c>
      <c r="F27" s="1022">
        <f>SUM(F24:F26)</f>
        <v>209315.54000000027</v>
      </c>
      <c r="G27" s="1"/>
      <c r="H27" s="1023">
        <f>SUM(H24:H26)</f>
        <v>0</v>
      </c>
      <c r="I27" s="1021">
        <f>SUM(I24:I26)</f>
        <v>0</v>
      </c>
      <c r="J27" s="1022">
        <f>SUM(J24:J26)</f>
        <v>0</v>
      </c>
      <c r="K27" s="1015">
        <f>F27+J27</f>
        <v>209315.54000000027</v>
      </c>
      <c r="L27" s="122"/>
      <c r="M27" s="122"/>
      <c r="N27" s="1144"/>
      <c r="O27" s="122"/>
      <c r="P27" s="1740"/>
      <c r="Q27" s="1740"/>
      <c r="R27" s="1740"/>
      <c r="S27" s="1740"/>
      <c r="T27" s="1740"/>
      <c r="U27" s="1740"/>
      <c r="V27" s="1740"/>
      <c r="W27" s="1740"/>
      <c r="X27" s="1740"/>
    </row>
    <row r="28" spans="1:24" x14ac:dyDescent="0.2">
      <c r="A28" s="122"/>
      <c r="B28" s="122"/>
      <c r="C28" s="122"/>
      <c r="D28" s="122"/>
      <c r="E28" s="122"/>
      <c r="F28" s="122"/>
      <c r="G28" s="3"/>
      <c r="H28" s="122"/>
      <c r="I28" s="122"/>
      <c r="J28" s="122"/>
      <c r="K28" s="122"/>
      <c r="L28" s="122"/>
      <c r="M28" s="122"/>
      <c r="N28" s="122"/>
      <c r="O28" s="122"/>
      <c r="P28" s="122"/>
      <c r="Q28" s="122"/>
      <c r="R28" s="122"/>
      <c r="S28" s="122"/>
      <c r="T28" s="122"/>
      <c r="U28" s="122"/>
    </row>
    <row r="29" spans="1:24" ht="14.25" x14ac:dyDescent="0.2">
      <c r="A29" s="122"/>
      <c r="B29" s="122"/>
      <c r="C29" s="122"/>
      <c r="D29" s="122"/>
      <c r="E29" s="122"/>
      <c r="F29" s="122"/>
      <c r="G29" s="3"/>
      <c r="H29" s="122"/>
      <c r="I29" s="122"/>
      <c r="J29" s="122"/>
      <c r="K29" s="1106" t="str">
        <f>IF(AND(ROUND(K19,0)=ROUND(K27,0)),"OK","WARNING - Sum not matching")</f>
        <v>OK</v>
      </c>
      <c r="L29" s="122"/>
      <c r="M29" s="122"/>
      <c r="N29" s="122"/>
      <c r="O29" s="122"/>
      <c r="P29" s="122"/>
      <c r="Q29" s="122"/>
      <c r="R29" s="122"/>
      <c r="S29" s="122"/>
      <c r="T29" s="122"/>
      <c r="U29" s="122"/>
    </row>
    <row r="30" spans="1:24" x14ac:dyDescent="0.2">
      <c r="A30" s="1162"/>
      <c r="B30" s="1163"/>
      <c r="C30" s="122"/>
      <c r="D30" s="122"/>
      <c r="E30" s="122"/>
      <c r="F30" s="122"/>
      <c r="G30" s="3"/>
      <c r="H30" s="1144"/>
      <c r="I30" s="122"/>
      <c r="J30" s="122"/>
      <c r="K30" s="122"/>
      <c r="L30" s="122"/>
      <c r="M30" s="122"/>
      <c r="N30" s="122"/>
      <c r="O30" s="122"/>
      <c r="P30" s="122"/>
      <c r="Q30" s="122"/>
      <c r="R30" s="122"/>
      <c r="S30" s="122"/>
      <c r="T30" s="122"/>
      <c r="U30" s="122"/>
    </row>
    <row r="31" spans="1:24" x14ac:dyDescent="0.2">
      <c r="A31" s="122"/>
      <c r="B31" s="122"/>
      <c r="C31" s="122"/>
      <c r="D31" s="1144"/>
      <c r="E31" s="122"/>
      <c r="F31" s="122"/>
      <c r="G31" s="3"/>
      <c r="H31" s="122"/>
      <c r="I31" s="122"/>
      <c r="J31" s="122"/>
      <c r="K31" s="122"/>
      <c r="L31" s="122"/>
      <c r="M31" s="122"/>
      <c r="N31" s="122"/>
      <c r="O31" s="122"/>
      <c r="P31" s="122"/>
      <c r="Q31" s="122"/>
      <c r="R31" s="122"/>
      <c r="S31" s="122"/>
      <c r="T31" s="122"/>
      <c r="U31" s="122"/>
    </row>
    <row r="32" spans="1:24" ht="32.450000000000003" customHeight="1" x14ac:dyDescent="0.2">
      <c r="A32" s="122"/>
      <c r="B32" s="122"/>
      <c r="C32" s="122"/>
      <c r="D32" s="122"/>
      <c r="E32" s="122"/>
      <c r="F32" s="122"/>
      <c r="G32" s="3"/>
      <c r="H32" s="122"/>
      <c r="I32" s="122"/>
      <c r="J32" s="122"/>
      <c r="K32" s="122"/>
      <c r="L32" s="122"/>
      <c r="M32" s="122"/>
      <c r="N32" s="122"/>
      <c r="O32" s="122"/>
      <c r="P32" s="122"/>
      <c r="Q32" s="122"/>
      <c r="R32" s="122"/>
      <c r="S32" s="122"/>
      <c r="T32" s="122"/>
      <c r="U32" s="122"/>
    </row>
    <row r="33" spans="1:24" ht="30" x14ac:dyDescent="0.2">
      <c r="A33" s="1741" t="s">
        <v>102</v>
      </c>
      <c r="B33" s="1741"/>
      <c r="C33" s="1741"/>
      <c r="D33" s="1741"/>
      <c r="E33" s="1741"/>
      <c r="F33" s="1741"/>
      <c r="G33" s="1741"/>
      <c r="H33" s="1741"/>
      <c r="I33" s="1741"/>
      <c r="J33" s="1741"/>
      <c r="K33" s="1741"/>
      <c r="L33" s="1741"/>
      <c r="M33" s="1741"/>
      <c r="N33" s="1741"/>
      <c r="O33" s="1741"/>
      <c r="P33" s="1741"/>
      <c r="Q33" s="1741"/>
      <c r="R33" s="1741"/>
      <c r="S33" s="1741"/>
      <c r="T33" s="1741"/>
      <c r="U33" s="1741"/>
      <c r="V33" s="1741"/>
      <c r="W33" s="1741"/>
      <c r="X33" s="1741"/>
    </row>
    <row r="34" spans="1:24" ht="23.25" customHeight="1" x14ac:dyDescent="0.2">
      <c r="A34" s="122"/>
      <c r="B34" s="122"/>
      <c r="C34" s="122"/>
      <c r="D34" s="122"/>
      <c r="E34" s="122"/>
      <c r="F34" s="122"/>
      <c r="G34" s="3"/>
      <c r="H34" s="122"/>
      <c r="I34" s="122"/>
      <c r="J34" s="122"/>
      <c r="K34" s="122"/>
      <c r="L34" s="122"/>
      <c r="M34" s="122"/>
      <c r="N34" s="122"/>
      <c r="O34" s="122"/>
      <c r="P34" s="1746" t="s">
        <v>160</v>
      </c>
      <c r="Q34" s="1746"/>
      <c r="R34" s="1746"/>
      <c r="S34" s="1746"/>
      <c r="T34" s="1746"/>
      <c r="U34" s="1746"/>
      <c r="V34" s="1746"/>
      <c r="W34" s="1746"/>
      <c r="X34" s="1746"/>
    </row>
    <row r="35" spans="1:24" ht="30.75" customHeight="1" x14ac:dyDescent="0.2">
      <c r="A35" s="122"/>
      <c r="B35" s="122"/>
      <c r="C35" s="122"/>
      <c r="D35" s="122"/>
      <c r="E35" s="122"/>
      <c r="F35" s="122"/>
      <c r="G35" s="3"/>
      <c r="H35" s="122"/>
      <c r="I35" s="122"/>
      <c r="J35" s="122"/>
      <c r="K35" s="122"/>
      <c r="L35" s="122"/>
      <c r="M35" s="122"/>
      <c r="N35" s="122"/>
      <c r="O35" s="122"/>
      <c r="P35" s="1"/>
      <c r="Q35" s="1"/>
      <c r="R35" s="1"/>
      <c r="S35" s="1"/>
      <c r="T35" s="1"/>
      <c r="U35" s="1"/>
      <c r="V35" s="1"/>
      <c r="W35" s="1"/>
      <c r="X35" s="1"/>
    </row>
    <row r="36" spans="1:24" ht="18.75" thickBot="1" x14ac:dyDescent="0.3">
      <c r="A36" s="1"/>
      <c r="B36" s="1742" t="s">
        <v>434</v>
      </c>
      <c r="C36" s="1743"/>
      <c r="D36" s="1743"/>
      <c r="E36" s="1744"/>
      <c r="F36" s="1164" t="s">
        <v>60</v>
      </c>
      <c r="G36" s="1165"/>
      <c r="H36" s="1745" t="s">
        <v>435</v>
      </c>
      <c r="I36" s="1745"/>
      <c r="J36" s="1164" t="s">
        <v>60</v>
      </c>
      <c r="K36" s="122"/>
      <c r="L36" s="122"/>
      <c r="M36" s="122"/>
      <c r="N36" s="122"/>
      <c r="O36" s="122"/>
      <c r="P36" s="1740"/>
      <c r="Q36" s="1740"/>
      <c r="R36" s="1740"/>
      <c r="S36" s="1740"/>
      <c r="T36" s="1740"/>
      <c r="U36" s="1740"/>
      <c r="V36" s="1740"/>
      <c r="W36" s="1740"/>
      <c r="X36" s="1740"/>
    </row>
    <row r="37" spans="1:24" ht="33" customHeight="1" thickBot="1" x14ac:dyDescent="0.25">
      <c r="A37" s="1138" t="s">
        <v>436</v>
      </c>
      <c r="B37" s="1139" t="str">
        <f>'Cash Forecast_8A'!C85</f>
        <v>01/Jan/2018-31/Mar/2018</v>
      </c>
      <c r="C37" s="1139" t="str">
        <f>'Cash Forecast_8A'!D85</f>
        <v/>
      </c>
      <c r="D37" s="1139" t="str">
        <f>'Cash Forecast_8A'!E85</f>
        <v/>
      </c>
      <c r="E37" s="1139" t="str">
        <f>'Cash Forecast_8A'!F85</f>
        <v/>
      </c>
      <c r="F37" s="1166"/>
      <c r="G37" s="395"/>
      <c r="H37" s="1139" t="str">
        <f>'Cash Forecast_8A'!H85</f>
        <v/>
      </c>
      <c r="I37" s="1139" t="str">
        <f>'Cash Forecast_8A'!I85</f>
        <v/>
      </c>
      <c r="J37" s="1166"/>
      <c r="K37" s="122"/>
      <c r="L37" s="122"/>
      <c r="M37" s="122"/>
      <c r="N37" s="122"/>
      <c r="O37" s="122"/>
      <c r="P37" s="1740"/>
      <c r="Q37" s="1740"/>
      <c r="R37" s="1740"/>
      <c r="S37" s="1740"/>
      <c r="T37" s="1740"/>
      <c r="U37" s="1740"/>
      <c r="V37" s="1740"/>
      <c r="W37" s="1740"/>
      <c r="X37" s="1740"/>
    </row>
    <row r="38" spans="1:24" ht="15" thickBot="1" x14ac:dyDescent="0.25">
      <c r="A38" s="1143" t="s">
        <v>426</v>
      </c>
      <c r="B38" s="1019">
        <f>B101</f>
        <v>86035.733999999997</v>
      </c>
      <c r="C38" s="1046">
        <f>C101</f>
        <v>0</v>
      </c>
      <c r="D38" s="1047">
        <f>D101</f>
        <v>0</v>
      </c>
      <c r="E38" s="1045">
        <f>E101</f>
        <v>0</v>
      </c>
      <c r="F38" s="1014">
        <f>SUM(B38:E38)</f>
        <v>86035.733999999997</v>
      </c>
      <c r="G38" s="1"/>
      <c r="H38" s="1019">
        <f>G101</f>
        <v>0</v>
      </c>
      <c r="I38" s="1045">
        <f>H101</f>
        <v>0</v>
      </c>
      <c r="J38" s="1046">
        <f>SUM(H38:I38)</f>
        <v>0</v>
      </c>
      <c r="K38" s="1015">
        <f>J38+F38</f>
        <v>86035.733999999997</v>
      </c>
      <c r="L38" s="122"/>
      <c r="M38" s="122"/>
      <c r="N38" s="122"/>
      <c r="O38" s="122"/>
      <c r="P38" s="1740"/>
      <c r="Q38" s="1740"/>
      <c r="R38" s="1740"/>
      <c r="S38" s="1740"/>
      <c r="T38" s="1740"/>
      <c r="U38" s="1740"/>
      <c r="V38" s="1740"/>
      <c r="W38" s="1740"/>
      <c r="X38" s="1740"/>
    </row>
    <row r="39" spans="1:24" ht="15" thickBot="1" x14ac:dyDescent="0.25">
      <c r="A39" s="1143" t="s">
        <v>439</v>
      </c>
      <c r="B39" s="1012">
        <f>'Cash Forecast_8A'!C102</f>
        <v>0</v>
      </c>
      <c r="C39" s="1013">
        <f>'Cash Forecast_8A'!D102</f>
        <v>0</v>
      </c>
      <c r="D39" s="1013">
        <f>'Cash Forecast_8A'!E102</f>
        <v>0</v>
      </c>
      <c r="E39" s="1013">
        <f>'Cash Forecast_8A'!F102</f>
        <v>0</v>
      </c>
      <c r="F39" s="1014">
        <f>SUM(B39:E39)</f>
        <v>0</v>
      </c>
      <c r="G39" s="1"/>
      <c r="H39" s="1012">
        <f>'Cash Forecast_8A'!H102</f>
        <v>0</v>
      </c>
      <c r="I39" s="1013">
        <f>'Cash Forecast_8A'!I102</f>
        <v>0</v>
      </c>
      <c r="J39" s="1046">
        <f>SUM(H39:I39)</f>
        <v>0</v>
      </c>
      <c r="K39" s="1015">
        <f>J39+F39</f>
        <v>0</v>
      </c>
      <c r="L39" s="122"/>
      <c r="M39" s="122"/>
      <c r="N39" s="122"/>
      <c r="O39" s="122"/>
      <c r="P39" s="1740"/>
      <c r="Q39" s="1740"/>
      <c r="R39" s="1740"/>
      <c r="S39" s="1740"/>
      <c r="T39" s="1740"/>
      <c r="U39" s="1740"/>
      <c r="V39" s="1740"/>
      <c r="W39" s="1740"/>
      <c r="X39" s="1740"/>
    </row>
    <row r="40" spans="1:24" ht="42.75" x14ac:dyDescent="0.2">
      <c r="A40" s="1145" t="s">
        <v>615</v>
      </c>
      <c r="B40" s="1012">
        <f>'PR Cash Reconciliation_2A,B,C,D'!H32</f>
        <v>1339373.4599999997</v>
      </c>
      <c r="C40" s="1024"/>
      <c r="D40" s="1024"/>
      <c r="E40" s="1024"/>
      <c r="F40" s="1025"/>
      <c r="G40" s="1"/>
      <c r="H40" s="1026"/>
      <c r="I40" s="1024"/>
      <c r="J40" s="1025"/>
      <c r="K40" s="122"/>
      <c r="L40" s="122"/>
      <c r="M40" s="122"/>
      <c r="N40" s="122"/>
      <c r="O40" s="122"/>
      <c r="P40" s="1740"/>
      <c r="Q40" s="1740"/>
      <c r="R40" s="1740"/>
      <c r="S40" s="1740"/>
      <c r="T40" s="1740"/>
      <c r="U40" s="1740"/>
      <c r="V40" s="1740"/>
      <c r="W40" s="1740"/>
      <c r="X40" s="1740"/>
    </row>
    <row r="41" spans="1:24" ht="38.25" customHeight="1" x14ac:dyDescent="0.2">
      <c r="A41" s="1145" t="s">
        <v>605</v>
      </c>
      <c r="B41" s="1172"/>
      <c r="C41" s="1024"/>
      <c r="D41" s="1024"/>
      <c r="E41" s="1024"/>
      <c r="F41" s="1025"/>
      <c r="G41" s="1"/>
      <c r="H41" s="1026"/>
      <c r="I41" s="1024"/>
      <c r="J41" s="1025"/>
      <c r="K41" s="1149"/>
      <c r="L41" s="1747" t="str">
        <f>IF(AND(ROUND(SUM(B41:B42),0)=ROUND('PR Cash Reconciliation_2A,B,C,D'!H38,0)),"Cash in Transit OK","WARNING - Cash in Transit not matching")</f>
        <v>Cash in Transit OK</v>
      </c>
      <c r="M41" s="1150"/>
      <c r="N41" s="1150"/>
      <c r="O41" s="1151"/>
      <c r="P41" s="1740"/>
      <c r="Q41" s="1740"/>
      <c r="R41" s="1740"/>
      <c r="S41" s="1740"/>
      <c r="T41" s="1740"/>
      <c r="U41" s="1740"/>
      <c r="V41" s="1740"/>
      <c r="W41" s="1740"/>
      <c r="X41" s="1740"/>
    </row>
    <row r="42" spans="1:24" ht="28.5" x14ac:dyDescent="0.2">
      <c r="A42" s="1145" t="s">
        <v>581</v>
      </c>
      <c r="B42" s="1172">
        <v>0</v>
      </c>
      <c r="C42" s="1024"/>
      <c r="D42" s="1024"/>
      <c r="E42" s="1024"/>
      <c r="F42" s="1025"/>
      <c r="G42" s="1"/>
      <c r="H42" s="1026"/>
      <c r="I42" s="1024"/>
      <c r="J42" s="1025"/>
      <c r="K42" s="122"/>
      <c r="L42" s="1747"/>
      <c r="M42" s="1150"/>
      <c r="N42" s="1150"/>
      <c r="O42" s="1151"/>
      <c r="P42" s="1740"/>
      <c r="Q42" s="1740"/>
      <c r="R42" s="1740"/>
      <c r="S42" s="1740"/>
      <c r="T42" s="1740"/>
      <c r="U42" s="1740"/>
      <c r="V42" s="1740"/>
      <c r="W42" s="1740"/>
      <c r="X42" s="1740"/>
    </row>
    <row r="43" spans="1:24" ht="29.25" customHeight="1" x14ac:dyDescent="0.2">
      <c r="A43" s="1145" t="s">
        <v>607</v>
      </c>
      <c r="B43" s="1172">
        <f>86036+3530.81</f>
        <v>89566.81</v>
      </c>
      <c r="C43" s="1024"/>
      <c r="D43" s="1024"/>
      <c r="E43" s="1024"/>
      <c r="F43" s="1025"/>
      <c r="G43" s="1"/>
      <c r="H43" s="1026"/>
      <c r="I43" s="1024"/>
      <c r="J43" s="1025"/>
      <c r="K43" s="1149"/>
      <c r="L43" s="1747" t="str">
        <f>IF(AND(ROUND(SUM(B43:B44),0)=ROUND('PR Cash Reconciliation_2A,B,C,D'!H39,0)),"Cash in Transit OK","WARNING - Cash in Transit not matching")</f>
        <v>Cash in Transit OK</v>
      </c>
      <c r="M43" s="1150"/>
      <c r="N43" s="1150"/>
      <c r="O43" s="1151"/>
      <c r="P43" s="1740"/>
      <c r="Q43" s="1740"/>
      <c r="R43" s="1740"/>
      <c r="S43" s="1740"/>
      <c r="T43" s="1740"/>
      <c r="U43" s="1740"/>
      <c r="V43" s="1740"/>
      <c r="W43" s="1740"/>
      <c r="X43" s="1740"/>
    </row>
    <row r="44" spans="1:24" ht="43.5" thickBot="1" x14ac:dyDescent="0.25">
      <c r="A44" s="1145" t="s">
        <v>582</v>
      </c>
      <c r="B44" s="1172"/>
      <c r="C44" s="1058"/>
      <c r="D44" s="1058"/>
      <c r="E44" s="1058"/>
      <c r="F44" s="1059"/>
      <c r="G44" s="1"/>
      <c r="H44" s="1060"/>
      <c r="I44" s="1058"/>
      <c r="J44" s="1059"/>
      <c r="K44" s="1149"/>
      <c r="L44" s="1747"/>
      <c r="M44" s="1150"/>
      <c r="N44" s="1150"/>
      <c r="O44" s="1151"/>
      <c r="P44" s="1740"/>
      <c r="Q44" s="1740"/>
      <c r="R44" s="1740"/>
      <c r="S44" s="1740"/>
      <c r="T44" s="1740"/>
      <c r="U44" s="1740"/>
      <c r="V44" s="1740"/>
      <c r="W44" s="1740"/>
      <c r="X44" s="1740"/>
    </row>
    <row r="45" spans="1:24" ht="15" thickBot="1" x14ac:dyDescent="0.25">
      <c r="A45" s="1155" t="s">
        <v>274</v>
      </c>
      <c r="B45" s="1016">
        <f>IF(B39=0,0,IF(AND(B106-$B$40-$B$41-$B$43&lt;=0,B51+B52&lt;=0),0,IF(AND(B106-$B$40-$B$41-$B$43&lt;=0,B51+B52&gt;0),B51+B52,IF(AND(B39-$B$40-$B$41-$B$43&lt;=B51+B52,B51+B52&gt;0),B51+B52,B106-$B$40-$B$41-$B$43+B51+B52))))</f>
        <v>0</v>
      </c>
      <c r="C45" s="1017">
        <f>IF(C39=0,0,IF(AND(B106+C106-$B$40-$B$41-$B$43&lt;=0,C51+C52&lt;=0),0,IF(AND(B106+C106-$B$40-$B$41-$B$43&lt;=0,C51+C52&gt;0),C51+C52,IF(AND(B39+C39-$B$40-$B$41-$B$43&lt;=C51+C52,C51+C52&gt;0),C51+C52,B106+C106-$B$40-$B$41-$B$43-B50+C51+C52))))</f>
        <v>0</v>
      </c>
      <c r="D45" s="1017">
        <f>IF(D39=0,0,IF(AND(B106+C106+D106-$B$40-$B$41-$B$43&lt;=0,D51+D52&lt;=0),0,IF(AND(B106+C106+D106-$B$40-$B$41-$B$43&lt;=0,D51+D52&gt;0),D51+D52,IF(AND(B39+C39+D39-$B$40-$B$41-$B$43&lt;=D51+D52,D51+D52&gt;0),D51+D52,B106+C106+D106-$B$40-$B$41-$B$43-B50-C50+D51+D52))))</f>
        <v>0</v>
      </c>
      <c r="E45" s="1017">
        <f>IF(E39=0,0,IF(AND(B106+C106+D106+E106-$B$40-$B$41-$B$43&lt;=0,E51+E52&lt;=0),0,IF(AND(B106+C106+D106+E106-$B$40-$B$41-$B$43&lt;=0,E51+E52&gt;0),E51+E52,IF(AND(B39+C39+D39+E39-$B$40-$B$41-$B$43&lt;=E51+E52,E51+E52&gt;0),E51+E52,B106+C106+D106+E106-$B$40-$B$41-$B$43-B50-C50-D50+E51+E52))))</f>
        <v>0</v>
      </c>
      <c r="F45" s="1018">
        <f>SUM(B45:E45)</f>
        <v>0</v>
      </c>
      <c r="G45" s="1"/>
      <c r="H45" s="1016">
        <f>IF(H39=0,0,IF(AND(B106+C106+D106+E106+G106-$B$40-$B$41-$B$43&lt;=0,H51+H52&lt;=0),0,IF(AND(B106+C106+D106+E106+G106-$B$40-$B$41-$B$43&lt;=0,H51+H52&gt;0),H51+H52,IF(AND(B39+C39+D39+E39+H39-$B$40-$B$41-$B$43&lt;=H51+H52,H51+H52&gt;0),H51+H52,B106+C106+D106+E106+G106-$B$40-$B$41-$B$43-B50-C50-D50-E50+H51+H52))))</f>
        <v>0</v>
      </c>
      <c r="I45" s="1017">
        <f>IF(I39=0,0,IF(AND(B106+C106+D106+E106+G106+H106-$B$40-$B$41-$B$43&lt;=0,I51+I52&lt;=0),0,IF(AND(B106+C106+D106+E106+G106+H106-$B$40-$B$41-$B$43&lt;=0,I51+I52&gt;0),I51+I52,IF(AND(B39+C39+D39+E39+H39+I39-$B$40-$B$41-$B$43&lt;=I51+I52,I51+I52&gt;0),I51+I52,B106+C106+D106+E106+G106+H106-$B$40-$B$41-$B$43-B50-C50-D50-E50-H50+I51+I52))))</f>
        <v>0</v>
      </c>
      <c r="J45" s="1018">
        <f>SUM(H45:I45)</f>
        <v>0</v>
      </c>
      <c r="K45" s="1015">
        <f>F45+J45</f>
        <v>0</v>
      </c>
      <c r="L45" s="122"/>
      <c r="M45" s="122"/>
      <c r="N45" s="122"/>
      <c r="O45" s="122"/>
      <c r="P45" s="1740"/>
      <c r="Q45" s="1740"/>
      <c r="R45" s="1740"/>
      <c r="S45" s="1740"/>
      <c r="T45" s="1740"/>
      <c r="U45" s="1740"/>
      <c r="V45" s="1740"/>
      <c r="W45" s="1740"/>
      <c r="X45" s="1740"/>
    </row>
    <row r="46" spans="1:24" x14ac:dyDescent="0.2">
      <c r="A46" s="122"/>
      <c r="B46" s="122"/>
      <c r="C46" s="122"/>
      <c r="D46" s="122"/>
      <c r="E46" s="122"/>
      <c r="F46" s="122"/>
      <c r="G46" s="3"/>
      <c r="H46" s="122"/>
      <c r="I46" s="122"/>
      <c r="J46" s="122"/>
      <c r="K46" s="122"/>
      <c r="L46" s="122"/>
      <c r="M46" s="122"/>
      <c r="N46" s="122"/>
      <c r="O46" s="122"/>
      <c r="P46" s="1740"/>
      <c r="Q46" s="1740"/>
      <c r="R46" s="1740"/>
      <c r="S46" s="1740"/>
      <c r="T46" s="1740"/>
      <c r="U46" s="1740"/>
      <c r="V46" s="1740"/>
      <c r="W46" s="1740"/>
      <c r="X46" s="1740"/>
    </row>
    <row r="47" spans="1:24" x14ac:dyDescent="0.2">
      <c r="A47" s="1157"/>
      <c r="B47" s="1144"/>
      <c r="C47" s="1144"/>
      <c r="D47" s="1144"/>
      <c r="E47" s="1144"/>
      <c r="F47" s="122"/>
      <c r="G47" s="1158"/>
      <c r="H47" s="1144"/>
      <c r="I47" s="1144"/>
      <c r="J47" s="122"/>
      <c r="K47" s="1159"/>
      <c r="L47" s="122"/>
      <c r="M47" s="122"/>
      <c r="N47" s="122"/>
      <c r="O47" s="122"/>
      <c r="P47" s="1740"/>
      <c r="Q47" s="1740"/>
      <c r="R47" s="1740"/>
      <c r="S47" s="1740"/>
      <c r="T47" s="1740"/>
      <c r="U47" s="1740"/>
      <c r="V47" s="1740"/>
      <c r="W47" s="1740"/>
      <c r="X47" s="1740"/>
    </row>
    <row r="48" spans="1:24" x14ac:dyDescent="0.2">
      <c r="A48" s="122"/>
      <c r="B48" s="1144"/>
      <c r="C48" s="1144"/>
      <c r="D48" s="1144"/>
      <c r="E48" s="1144"/>
      <c r="F48" s="122"/>
      <c r="G48" s="3"/>
      <c r="H48" s="122"/>
      <c r="I48" s="122"/>
      <c r="J48" s="122"/>
      <c r="K48" s="122"/>
      <c r="L48" s="122"/>
      <c r="M48" s="122"/>
      <c r="N48" s="122"/>
      <c r="O48" s="122"/>
      <c r="P48" s="1740"/>
      <c r="Q48" s="1740"/>
      <c r="R48" s="1740"/>
      <c r="S48" s="1740"/>
      <c r="T48" s="1740"/>
      <c r="U48" s="1740"/>
      <c r="V48" s="1740"/>
      <c r="W48" s="1740"/>
      <c r="X48" s="1740"/>
    </row>
    <row r="49" spans="1:24" ht="13.5" thickBot="1" x14ac:dyDescent="0.25">
      <c r="A49" s="122"/>
      <c r="B49" s="122"/>
      <c r="C49" s="122"/>
      <c r="D49" s="122"/>
      <c r="E49" s="122"/>
      <c r="F49" s="122"/>
      <c r="G49" s="3"/>
      <c r="H49" s="122"/>
      <c r="I49" s="122"/>
      <c r="J49" s="122"/>
      <c r="K49" s="122"/>
      <c r="L49" s="122"/>
      <c r="M49" s="122"/>
      <c r="N49" s="122"/>
      <c r="O49" s="122"/>
      <c r="P49" s="1740"/>
      <c r="Q49" s="1740"/>
      <c r="R49" s="1740"/>
      <c r="S49" s="1740"/>
      <c r="T49" s="1740"/>
      <c r="U49" s="1740"/>
      <c r="V49" s="1740"/>
      <c r="W49" s="1740"/>
      <c r="X49" s="1740"/>
    </row>
    <row r="50" spans="1:24" s="122" customFormat="1" ht="43.5" thickBot="1" x14ac:dyDescent="0.25">
      <c r="A50" s="1160" t="s">
        <v>427</v>
      </c>
      <c r="B50" s="1050">
        <f>B45-SUM(B51:B52)</f>
        <v>0</v>
      </c>
      <c r="C50" s="1051">
        <f>C45-SUM(C51:C52)</f>
        <v>0</v>
      </c>
      <c r="D50" s="1051">
        <f>D45-SUM(D51:D52)</f>
        <v>0</v>
      </c>
      <c r="E50" s="1051">
        <f>E45-SUM(E51:E52)</f>
        <v>0</v>
      </c>
      <c r="F50" s="1052">
        <f>SUM(B50:E50)</f>
        <v>0</v>
      </c>
      <c r="G50" s="1"/>
      <c r="H50" s="1050">
        <f>H45-SUM(H51:H52)</f>
        <v>0</v>
      </c>
      <c r="I50" s="1051">
        <f>I45-SUM(I51:I52)</f>
        <v>0</v>
      </c>
      <c r="J50" s="1052">
        <f>SUM(H50:I50)</f>
        <v>0</v>
      </c>
      <c r="K50" s="1106" t="str">
        <f>IF(AND(ROUND(F50+J50,0)=ROUND(F106+I106-B40-B41-B43,0)),"OK","WARNING - Sum not matching")</f>
        <v>WARNING - Sum not matching</v>
      </c>
      <c r="P50" s="1740"/>
      <c r="Q50" s="1740"/>
      <c r="R50" s="1740"/>
      <c r="S50" s="1740"/>
      <c r="T50" s="1740"/>
      <c r="U50" s="1740"/>
      <c r="V50" s="1740"/>
      <c r="W50" s="1740"/>
      <c r="X50" s="1740"/>
    </row>
    <row r="51" spans="1:24" s="122" customFormat="1" ht="15" thickBot="1" x14ac:dyDescent="0.25">
      <c r="A51" s="1161" t="s">
        <v>428</v>
      </c>
      <c r="B51" s="1053">
        <f>IF('Request and Recommendation_8B'!B105-$B$42-$B$44&lt;=0,0,'Request and Recommendation_8B'!B105-$B$42-$B$44)</f>
        <v>0</v>
      </c>
      <c r="C51" s="1049">
        <f>IF('Request and Recommendation_8B'!B105+'Request and Recommendation_8B'!C105-$B$42-$B$44&lt;=0,0,'Request and Recommendation_8B'!B105+'Request and Recommendation_8B'!C105-B51-$B$42-$B$44)</f>
        <v>0</v>
      </c>
      <c r="D51" s="1049">
        <f>IF('Request and Recommendation_8B'!B105+'Request and Recommendation_8B'!C105+'Request and Recommendation_8B'!D105-$B$42-$B$44&lt;=0,0,'Request and Recommendation_8B'!B105+'Request and Recommendation_8B'!C105+'Request and Recommendation_8B'!D105-C51-B51-$B$42-$B$44)</f>
        <v>0</v>
      </c>
      <c r="E51" s="1049">
        <f>IF('Request and Recommendation_8B'!B105+'Request and Recommendation_8B'!C105+'Request and Recommendation_8B'!D105+'Request and Recommendation_8B'!E105-$B$42-$B$44&lt;=0,0,'Request and Recommendation_8B'!B105+'Request and Recommendation_8B'!C105+'Request and Recommendation_8B'!D105+'Request and Recommendation_8B'!E105-D51-C51-B51-$B$42-$B$44)</f>
        <v>0</v>
      </c>
      <c r="F51" s="1054">
        <f>SUM(B51:E51)</f>
        <v>0</v>
      </c>
      <c r="G51" s="1"/>
      <c r="H51" s="1053">
        <f>IF('Request and Recommendation_8B'!B105+'Request and Recommendation_8B'!C105+'Request and Recommendation_8B'!D105+'Request and Recommendation_8B'!E105+'Request and Recommendation_8B'!G105-$B$42-$B$44&lt;=0,0,'Request and Recommendation_8B'!B105+'Request and Recommendation_8B'!C105+'Request and Recommendation_8B'!D105+'Request and Recommendation_8B'!E105+'Request and Recommendation_8B'!G105-E51-D51-C51-B51-$B$42-$B$44)</f>
        <v>0</v>
      </c>
      <c r="I51" s="1049">
        <f>IF(('Request and Recommendation_8B'!B105+'Request and Recommendation_8B'!C105+'Request and Recommendation_8B'!D105+'Request and Recommendation_8B'!E105+'Request and Recommendation_8B'!G105+'Request and Recommendation_8B'!H105)-$B$42-$B$44&lt;=0,0,('Request and Recommendation_8B'!B105+'Request and Recommendation_8B'!C105+'Request and Recommendation_8B'!D105+'Request and Recommendation_8B'!E105+'Request and Recommendation_8B'!H105+'Request and Recommendation_8B'!G105)-B51-C51-D51-E51-H51-$B$42-$B$44)</f>
        <v>0</v>
      </c>
      <c r="J51" s="1052">
        <f t="shared" ref="J51:J52" si="0">SUM(H51:I51)</f>
        <v>0</v>
      </c>
      <c r="K51" s="1106" t="str">
        <f>IF(AND(ROUND(F51+J51,0)=ROUND(F105+I105-B42-B44,0)),"OK","WARNING - Sum not matching")</f>
        <v>OK</v>
      </c>
      <c r="P51" s="1740"/>
      <c r="Q51" s="1740"/>
      <c r="R51" s="1740"/>
      <c r="S51" s="1740"/>
      <c r="T51" s="1740"/>
      <c r="U51" s="1740"/>
      <c r="V51" s="1740"/>
      <c r="W51" s="1740"/>
      <c r="X51" s="1740"/>
    </row>
    <row r="52" spans="1:24" s="122" customFormat="1" ht="29.25" thickBot="1" x14ac:dyDescent="0.25">
      <c r="A52" s="1161" t="s">
        <v>438</v>
      </c>
      <c r="B52" s="1016">
        <f>'Request and Recommendation_8B'!B107</f>
        <v>0</v>
      </c>
      <c r="C52" s="1017">
        <f>'Request and Recommendation_8B'!C107</f>
        <v>0</v>
      </c>
      <c r="D52" s="1017">
        <f>'Request and Recommendation_8B'!D107</f>
        <v>0</v>
      </c>
      <c r="E52" s="1017">
        <f>'Request and Recommendation_8B'!E107</f>
        <v>0</v>
      </c>
      <c r="F52" s="1018">
        <f>SUM(B52:E52)</f>
        <v>0</v>
      </c>
      <c r="G52" s="1"/>
      <c r="H52" s="1016">
        <f>'Request and Recommendation_8B'!G107</f>
        <v>0</v>
      </c>
      <c r="I52" s="1017">
        <f>'Request and Recommendation_8B'!H107</f>
        <v>0</v>
      </c>
      <c r="J52" s="1052">
        <f t="shared" si="0"/>
        <v>0</v>
      </c>
      <c r="K52" s="1106" t="str">
        <f>IF(AND(ROUND(F52+J52,0)=ROUND(F107+I107,0)),"OK","WARNING - Sum not matching")</f>
        <v>OK</v>
      </c>
      <c r="P52" s="1740"/>
      <c r="Q52" s="1740"/>
      <c r="R52" s="1740"/>
      <c r="S52" s="1740"/>
      <c r="T52" s="1740"/>
      <c r="U52" s="1740"/>
      <c r="V52" s="1740"/>
      <c r="W52" s="1740"/>
      <c r="X52" s="1740"/>
    </row>
    <row r="53" spans="1:24" s="122" customFormat="1" ht="15" thickBot="1" x14ac:dyDescent="0.25">
      <c r="A53" s="1155" t="s">
        <v>274</v>
      </c>
      <c r="B53" s="1027">
        <f>SUM(B50:B52)</f>
        <v>0</v>
      </c>
      <c r="C53" s="1028">
        <f>SUM(C50:C52)</f>
        <v>0</v>
      </c>
      <c r="D53" s="1028">
        <f>SUM(D50:D52)</f>
        <v>0</v>
      </c>
      <c r="E53" s="1028">
        <f>SUM(E50:E52)</f>
        <v>0</v>
      </c>
      <c r="F53" s="1022">
        <f>SUM(F50:F52)</f>
        <v>0</v>
      </c>
      <c r="G53" s="1"/>
      <c r="H53" s="1027">
        <f>SUM(H50:H52)</f>
        <v>0</v>
      </c>
      <c r="I53" s="1028">
        <f>SUM(I50:I52)</f>
        <v>0</v>
      </c>
      <c r="J53" s="1022">
        <f>SUM(J50:J52)</f>
        <v>0</v>
      </c>
      <c r="K53" s="1015">
        <f>F53+J53</f>
        <v>0</v>
      </c>
      <c r="P53" s="1740"/>
      <c r="Q53" s="1740"/>
      <c r="R53" s="1740"/>
      <c r="S53" s="1740"/>
      <c r="T53" s="1740"/>
      <c r="U53" s="1740"/>
      <c r="V53" s="1740"/>
      <c r="W53" s="1740"/>
      <c r="X53" s="1740"/>
    </row>
    <row r="54" spans="1:24" s="122" customFormat="1" x14ac:dyDescent="0.2">
      <c r="G54" s="3"/>
    </row>
    <row r="55" spans="1:24" s="122" customFormat="1" ht="14.25" x14ac:dyDescent="0.2">
      <c r="G55" s="3"/>
      <c r="K55" s="1106" t="str">
        <f>IF(AND(ROUND(K45,0)=ROUND(K53,0)),"OK","WARNING - Sum not matching")</f>
        <v>OK</v>
      </c>
    </row>
    <row r="56" spans="1:24" x14ac:dyDescent="0.2">
      <c r="A56" s="122"/>
      <c r="B56" s="122"/>
      <c r="C56" s="122"/>
      <c r="D56" s="1144"/>
      <c r="E56" s="122"/>
      <c r="F56" s="122"/>
      <c r="G56" s="3"/>
      <c r="H56" s="122"/>
      <c r="I56" s="122"/>
      <c r="J56" s="122"/>
      <c r="K56" s="122"/>
      <c r="L56" s="122"/>
      <c r="M56" s="122"/>
      <c r="N56" s="122"/>
      <c r="O56" s="122"/>
      <c r="P56" s="122"/>
      <c r="Q56" s="122"/>
      <c r="R56" s="122"/>
      <c r="S56" s="122"/>
      <c r="T56" s="122"/>
      <c r="U56" s="122"/>
    </row>
    <row r="57" spans="1:24" x14ac:dyDescent="0.2">
      <c r="A57" s="122"/>
      <c r="B57" s="122"/>
      <c r="C57" s="122"/>
      <c r="D57" s="122"/>
      <c r="E57" s="122"/>
      <c r="F57" s="122"/>
      <c r="G57" s="3"/>
      <c r="H57" s="122"/>
      <c r="I57" s="122"/>
      <c r="J57" s="122"/>
      <c r="K57" s="122"/>
      <c r="L57" s="122"/>
      <c r="M57" s="122"/>
      <c r="N57" s="122"/>
      <c r="O57" s="122"/>
      <c r="P57" s="122"/>
      <c r="Q57" s="122"/>
      <c r="R57" s="122"/>
      <c r="S57" s="122"/>
      <c r="T57" s="122"/>
      <c r="U57" s="122"/>
    </row>
    <row r="58" spans="1:24" x14ac:dyDescent="0.2">
      <c r="A58" s="122"/>
      <c r="B58" s="122"/>
      <c r="C58" s="122"/>
      <c r="D58" s="122"/>
      <c r="E58" s="122"/>
      <c r="F58" s="122"/>
      <c r="G58" s="3"/>
      <c r="H58" s="122"/>
      <c r="I58" s="122"/>
      <c r="J58" s="122"/>
      <c r="K58" s="122"/>
      <c r="L58" s="122"/>
      <c r="M58" s="122"/>
      <c r="N58" s="122"/>
      <c r="O58" s="122"/>
      <c r="P58" s="122"/>
      <c r="Q58" s="122"/>
      <c r="R58" s="122"/>
      <c r="S58" s="122"/>
      <c r="T58" s="122"/>
      <c r="U58" s="122"/>
    </row>
    <row r="59" spans="1:24" x14ac:dyDescent="0.2">
      <c r="A59" s="122"/>
      <c r="B59" s="122"/>
      <c r="C59" s="122"/>
      <c r="D59" s="122"/>
      <c r="E59" s="122"/>
      <c r="F59" s="122"/>
      <c r="G59" s="3"/>
      <c r="H59" s="122"/>
      <c r="I59" s="122"/>
      <c r="J59" s="122"/>
      <c r="K59" s="122"/>
      <c r="L59" s="122"/>
      <c r="M59" s="122"/>
      <c r="N59" s="122"/>
      <c r="O59" s="122"/>
      <c r="P59" s="122"/>
      <c r="Q59" s="122"/>
      <c r="R59" s="122"/>
      <c r="S59" s="122"/>
      <c r="T59" s="122"/>
      <c r="U59" s="122"/>
    </row>
    <row r="60" spans="1:24" ht="25.5" x14ac:dyDescent="0.35">
      <c r="A60" s="1167" t="s">
        <v>440</v>
      </c>
      <c r="B60" s="122"/>
      <c r="C60" s="122"/>
      <c r="D60" s="122"/>
      <c r="E60" s="122"/>
      <c r="F60" s="122"/>
      <c r="G60" s="3"/>
      <c r="H60" s="122"/>
      <c r="I60" s="122"/>
      <c r="J60" s="122"/>
      <c r="K60" s="122"/>
      <c r="L60" s="122"/>
      <c r="M60" s="122"/>
      <c r="N60" s="122"/>
      <c r="O60" s="122"/>
      <c r="P60" s="122"/>
      <c r="Q60" s="122"/>
      <c r="R60" s="122"/>
      <c r="S60" s="122"/>
      <c r="T60" s="122"/>
      <c r="U60" s="122"/>
    </row>
    <row r="61" spans="1:24" ht="30" customHeight="1" x14ac:dyDescent="0.2">
      <c r="A61" s="122"/>
      <c r="B61" s="1029" t="s">
        <v>15</v>
      </c>
      <c r="C61" s="1030" t="s">
        <v>16</v>
      </c>
      <c r="D61" s="1"/>
      <c r="E61" s="1011" t="s">
        <v>67</v>
      </c>
      <c r="F61" s="1"/>
      <c r="G61" s="1"/>
      <c r="H61" s="1"/>
      <c r="I61" s="1"/>
      <c r="J61" s="1"/>
      <c r="K61" s="1"/>
      <c r="L61" s="1"/>
      <c r="M61" s="1"/>
      <c r="N61" s="1"/>
      <c r="O61" s="1"/>
      <c r="P61" s="1"/>
      <c r="Q61" s="122"/>
      <c r="R61" s="122"/>
      <c r="S61" s="122"/>
      <c r="T61" s="122"/>
      <c r="U61" s="122"/>
    </row>
    <row r="62" spans="1:24" x14ac:dyDescent="0.2">
      <c r="A62" s="1"/>
      <c r="B62" s="122"/>
      <c r="C62" s="122"/>
      <c r="D62" s="122"/>
      <c r="E62" s="122"/>
      <c r="F62" s="122"/>
      <c r="G62" s="3"/>
      <c r="H62" s="122"/>
      <c r="I62" s="122"/>
      <c r="J62" s="122"/>
      <c r="K62" s="122"/>
      <c r="L62" s="122"/>
      <c r="M62" s="122"/>
      <c r="N62" s="122"/>
      <c r="O62" s="122"/>
      <c r="P62" s="122"/>
      <c r="Q62" s="122"/>
      <c r="R62" s="122"/>
      <c r="S62" s="122"/>
      <c r="T62" s="122"/>
      <c r="U62" s="122"/>
    </row>
    <row r="63" spans="1:24" ht="14.25" x14ac:dyDescent="0.2">
      <c r="A63" s="1031" t="s">
        <v>441</v>
      </c>
      <c r="B63" s="1168">
        <v>0</v>
      </c>
      <c r="C63" s="1169">
        <v>0</v>
      </c>
      <c r="D63" s="122"/>
      <c r="E63" s="1736"/>
      <c r="F63" s="1736"/>
      <c r="G63" s="1736"/>
      <c r="H63" s="1736"/>
      <c r="I63" s="1736"/>
      <c r="J63" s="1736"/>
      <c r="K63" s="1736"/>
      <c r="L63" s="122"/>
      <c r="M63" s="122"/>
      <c r="N63" s="122"/>
      <c r="O63" s="122"/>
      <c r="P63" s="122"/>
      <c r="Q63" s="122"/>
      <c r="R63" s="122"/>
      <c r="S63" s="122"/>
      <c r="T63" s="122"/>
      <c r="U63" s="122"/>
    </row>
    <row r="64" spans="1:24" ht="14.25" x14ac:dyDescent="0.2">
      <c r="A64" s="1031" t="s">
        <v>28</v>
      </c>
      <c r="B64" s="1168">
        <v>0</v>
      </c>
      <c r="C64" s="1169">
        <v>0</v>
      </c>
      <c r="D64" s="122"/>
      <c r="E64" s="1736"/>
      <c r="F64" s="1736"/>
      <c r="G64" s="1736"/>
      <c r="H64" s="1736"/>
      <c r="I64" s="1736"/>
      <c r="J64" s="1736"/>
      <c r="K64" s="1736"/>
      <c r="L64" s="122"/>
      <c r="M64" s="122"/>
      <c r="N64" s="122"/>
      <c r="O64" s="122"/>
      <c r="P64" s="122"/>
      <c r="Q64" s="122"/>
      <c r="R64" s="122"/>
      <c r="S64" s="122"/>
      <c r="T64" s="122"/>
      <c r="U64" s="122"/>
    </row>
    <row r="65" spans="1:21" ht="28.5" x14ac:dyDescent="0.2">
      <c r="A65" s="1031" t="s">
        <v>14</v>
      </c>
      <c r="B65" s="1170">
        <v>0</v>
      </c>
      <c r="C65" s="1169">
        <v>0</v>
      </c>
      <c r="D65" s="1032"/>
      <c r="E65" s="1736"/>
      <c r="F65" s="1736"/>
      <c r="G65" s="1736"/>
      <c r="H65" s="1736"/>
      <c r="I65" s="1736"/>
      <c r="J65" s="1736"/>
      <c r="K65" s="1736"/>
      <c r="L65" s="122"/>
      <c r="M65" s="122"/>
      <c r="N65" s="122"/>
      <c r="O65" s="122"/>
      <c r="P65" s="122"/>
      <c r="Q65" s="122"/>
      <c r="R65" s="122"/>
      <c r="S65" s="122"/>
      <c r="T65" s="122"/>
      <c r="U65" s="122"/>
    </row>
    <row r="66" spans="1:21" x14ac:dyDescent="0.2">
      <c r="A66" s="122"/>
      <c r="B66" s="1033"/>
      <c r="C66" s="122"/>
      <c r="D66" s="122"/>
      <c r="E66" s="122"/>
      <c r="F66" s="122"/>
      <c r="G66" s="3"/>
      <c r="H66" s="122"/>
      <c r="I66" s="122"/>
      <c r="J66" s="122"/>
      <c r="K66" s="122"/>
      <c r="L66" s="122"/>
      <c r="M66" s="122"/>
      <c r="N66" s="122"/>
      <c r="O66" s="122"/>
      <c r="P66" s="122"/>
      <c r="Q66" s="122"/>
      <c r="R66" s="122"/>
      <c r="S66" s="122"/>
      <c r="T66" s="122"/>
      <c r="U66" s="122"/>
    </row>
    <row r="67" spans="1:21" x14ac:dyDescent="0.2">
      <c r="A67" s="122"/>
      <c r="B67" s="122"/>
      <c r="C67" s="122"/>
      <c r="D67" s="122"/>
      <c r="E67" s="122"/>
      <c r="F67" s="122"/>
      <c r="G67" s="3"/>
      <c r="H67" s="122"/>
      <c r="I67" s="122"/>
      <c r="J67" s="122"/>
      <c r="K67" s="122"/>
      <c r="L67" s="122"/>
      <c r="M67" s="122"/>
      <c r="N67" s="122"/>
      <c r="O67" s="122"/>
      <c r="P67" s="122"/>
      <c r="Q67" s="122"/>
      <c r="R67" s="122"/>
      <c r="S67" s="122"/>
      <c r="T67" s="122"/>
      <c r="U67" s="122"/>
    </row>
    <row r="68" spans="1:21" ht="14.25" x14ac:dyDescent="0.2">
      <c r="A68" s="122"/>
      <c r="B68" s="122"/>
      <c r="C68" s="122"/>
      <c r="D68" s="122"/>
      <c r="E68" s="1737" t="s">
        <v>161</v>
      </c>
      <c r="F68" s="1738"/>
      <c r="G68" s="1738"/>
      <c r="H68" s="1738"/>
      <c r="I68" s="1738"/>
      <c r="J68" s="1739"/>
      <c r="K68" s="122"/>
      <c r="L68" s="122"/>
      <c r="M68" s="122"/>
      <c r="N68" s="122"/>
      <c r="O68" s="122"/>
      <c r="P68" s="122"/>
      <c r="Q68" s="122"/>
      <c r="R68" s="122"/>
      <c r="S68" s="122"/>
      <c r="T68" s="122"/>
      <c r="U68" s="122"/>
    </row>
    <row r="69" spans="1:21" x14ac:dyDescent="0.2">
      <c r="A69" s="122"/>
      <c r="B69" s="122"/>
      <c r="C69" s="122"/>
      <c r="D69" s="122"/>
      <c r="E69" s="122"/>
      <c r="F69" s="122"/>
      <c r="G69" s="3"/>
      <c r="H69" s="122"/>
      <c r="I69" s="122"/>
      <c r="J69" s="122"/>
      <c r="K69" s="122"/>
      <c r="L69" s="122"/>
      <c r="M69" s="122"/>
      <c r="N69" s="122"/>
      <c r="O69" s="122"/>
      <c r="P69" s="122"/>
      <c r="Q69" s="122"/>
      <c r="R69" s="122"/>
      <c r="S69" s="122"/>
      <c r="T69" s="122"/>
      <c r="U69" s="122"/>
    </row>
    <row r="70" spans="1:21" x14ac:dyDescent="0.2">
      <c r="A70" s="122"/>
      <c r="B70" s="122"/>
      <c r="C70" s="122"/>
      <c r="D70" s="122"/>
      <c r="E70" s="1740"/>
      <c r="F70" s="1740"/>
      <c r="G70" s="1740"/>
      <c r="H70" s="1740"/>
      <c r="I70" s="1740"/>
      <c r="J70" s="1740"/>
      <c r="K70" s="1740"/>
      <c r="L70" s="122"/>
      <c r="M70" s="122"/>
      <c r="N70" s="122"/>
      <c r="O70" s="122"/>
      <c r="P70" s="122"/>
      <c r="Q70" s="122"/>
      <c r="R70" s="122"/>
      <c r="S70" s="122"/>
      <c r="T70" s="122"/>
      <c r="U70" s="122"/>
    </row>
    <row r="71" spans="1:21" x14ac:dyDescent="0.2">
      <c r="A71" s="122"/>
      <c r="B71" s="122"/>
      <c r="C71" s="122"/>
      <c r="D71" s="122"/>
      <c r="E71" s="1740"/>
      <c r="F71" s="1740"/>
      <c r="G71" s="1740"/>
      <c r="H71" s="1740"/>
      <c r="I71" s="1740"/>
      <c r="J71" s="1740"/>
      <c r="K71" s="1740"/>
      <c r="L71" s="122"/>
      <c r="M71" s="122"/>
      <c r="N71" s="122"/>
      <c r="O71" s="122"/>
      <c r="P71" s="122"/>
      <c r="Q71" s="122"/>
      <c r="R71" s="122"/>
      <c r="S71" s="122"/>
      <c r="T71" s="122"/>
      <c r="U71" s="122"/>
    </row>
    <row r="72" spans="1:21" x14ac:dyDescent="0.2">
      <c r="A72" s="122"/>
      <c r="B72" s="122"/>
      <c r="C72" s="122"/>
      <c r="D72" s="122"/>
      <c r="E72" s="1740"/>
      <c r="F72" s="1740"/>
      <c r="G72" s="1740"/>
      <c r="H72" s="1740"/>
      <c r="I72" s="1740"/>
      <c r="J72" s="1740"/>
      <c r="K72" s="1740"/>
      <c r="L72" s="122"/>
      <c r="M72" s="122"/>
      <c r="N72" s="122"/>
      <c r="O72" s="122"/>
      <c r="P72" s="122"/>
      <c r="Q72" s="122"/>
      <c r="R72" s="122"/>
      <c r="S72" s="122"/>
      <c r="T72" s="122"/>
      <c r="U72" s="122"/>
    </row>
    <row r="73" spans="1:21" x14ac:dyDescent="0.2">
      <c r="A73" s="122"/>
      <c r="B73" s="122"/>
      <c r="C73" s="122"/>
      <c r="D73" s="122"/>
      <c r="E73" s="1740"/>
      <c r="F73" s="1740"/>
      <c r="G73" s="1740"/>
      <c r="H73" s="1740"/>
      <c r="I73" s="1740"/>
      <c r="J73" s="1740"/>
      <c r="K73" s="1740"/>
      <c r="L73" s="122"/>
      <c r="M73" s="122"/>
      <c r="N73" s="122"/>
      <c r="O73" s="122"/>
      <c r="P73" s="122"/>
      <c r="Q73" s="122"/>
      <c r="R73" s="122"/>
      <c r="S73" s="122"/>
      <c r="T73" s="122"/>
      <c r="U73" s="122"/>
    </row>
    <row r="74" spans="1:21" x14ac:dyDescent="0.2">
      <c r="A74" s="122"/>
      <c r="B74" s="122"/>
      <c r="C74" s="122"/>
      <c r="D74" s="122"/>
      <c r="E74" s="1740"/>
      <c r="F74" s="1740"/>
      <c r="G74" s="1740"/>
      <c r="H74" s="1740"/>
      <c r="I74" s="1740"/>
      <c r="J74" s="1740"/>
      <c r="K74" s="1740"/>
      <c r="L74" s="122"/>
      <c r="M74" s="122"/>
      <c r="N74" s="122"/>
      <c r="O74" s="122"/>
      <c r="P74" s="122"/>
      <c r="Q74" s="122"/>
      <c r="R74" s="122"/>
      <c r="S74" s="122"/>
      <c r="T74" s="122"/>
      <c r="U74" s="122"/>
    </row>
    <row r="75" spans="1:21" x14ac:dyDescent="0.2">
      <c r="A75" s="122"/>
      <c r="B75" s="122"/>
      <c r="C75" s="122"/>
      <c r="D75" s="122"/>
      <c r="E75" s="122"/>
      <c r="F75" s="122"/>
      <c r="G75" s="3"/>
      <c r="H75" s="122"/>
      <c r="I75" s="122"/>
      <c r="J75" s="122"/>
      <c r="K75" s="122"/>
      <c r="L75" s="122"/>
      <c r="M75" s="122"/>
      <c r="N75" s="122"/>
      <c r="O75" s="122"/>
      <c r="P75" s="122"/>
      <c r="Q75" s="122"/>
      <c r="R75" s="122"/>
      <c r="S75" s="122"/>
      <c r="T75" s="122"/>
      <c r="U75" s="122"/>
    </row>
    <row r="76" spans="1:21" x14ac:dyDescent="0.2">
      <c r="A76" s="122"/>
      <c r="B76" s="122"/>
      <c r="C76" s="122"/>
      <c r="D76" s="122"/>
      <c r="E76" s="122"/>
      <c r="F76" s="122"/>
      <c r="G76" s="3"/>
      <c r="H76" s="122"/>
      <c r="I76" s="122"/>
      <c r="J76" s="122"/>
      <c r="K76" s="122"/>
      <c r="L76" s="122"/>
      <c r="M76" s="122"/>
      <c r="N76" s="122"/>
      <c r="O76" s="122"/>
      <c r="P76" s="122"/>
      <c r="Q76" s="122"/>
      <c r="R76" s="122"/>
      <c r="S76" s="122"/>
      <c r="T76" s="122"/>
      <c r="U76" s="122"/>
    </row>
    <row r="77" spans="1:21" s="122" customFormat="1" x14ac:dyDescent="0.2">
      <c r="G77" s="3"/>
    </row>
    <row r="78" spans="1:21" s="122" customFormat="1" x14ac:dyDescent="0.2">
      <c r="G78" s="3"/>
    </row>
    <row r="79" spans="1:21" s="122" customFormat="1" x14ac:dyDescent="0.2">
      <c r="G79" s="3"/>
    </row>
    <row r="80" spans="1:21" s="122" customFormat="1" x14ac:dyDescent="0.2">
      <c r="G80" s="3"/>
    </row>
    <row r="81" spans="7:7" s="122" customFormat="1" x14ac:dyDescent="0.2">
      <c r="G81" s="3"/>
    </row>
    <row r="82" spans="7:7" s="122" customFormat="1" x14ac:dyDescent="0.2">
      <c r="G82" s="3"/>
    </row>
    <row r="83" spans="7:7" s="122" customFormat="1" x14ac:dyDescent="0.2">
      <c r="G83" s="3"/>
    </row>
    <row r="84" spans="7:7" s="122" customFormat="1" x14ac:dyDescent="0.2">
      <c r="G84" s="3"/>
    </row>
    <row r="85" spans="7:7" s="122" customFormat="1" x14ac:dyDescent="0.2">
      <c r="G85" s="3"/>
    </row>
    <row r="86" spans="7:7" s="122" customFormat="1" x14ac:dyDescent="0.2">
      <c r="G86" s="3"/>
    </row>
    <row r="87" spans="7:7" s="122" customFormat="1" x14ac:dyDescent="0.2">
      <c r="G87" s="3"/>
    </row>
    <row r="88" spans="7:7" s="122" customFormat="1" x14ac:dyDescent="0.2">
      <c r="G88" s="3"/>
    </row>
    <row r="89" spans="7:7" s="122" customFormat="1" x14ac:dyDescent="0.2">
      <c r="G89" s="3"/>
    </row>
    <row r="90" spans="7:7" s="122" customFormat="1" x14ac:dyDescent="0.2">
      <c r="G90" s="3"/>
    </row>
    <row r="91" spans="7:7" s="122" customFormat="1" x14ac:dyDescent="0.2">
      <c r="G91" s="3"/>
    </row>
    <row r="92" spans="7:7" s="122" customFormat="1" x14ac:dyDescent="0.2">
      <c r="G92" s="3"/>
    </row>
    <row r="93" spans="7:7" s="122" customFormat="1" x14ac:dyDescent="0.2">
      <c r="G93" s="3"/>
    </row>
    <row r="94" spans="7:7" s="122" customFormat="1" x14ac:dyDescent="0.2">
      <c r="G94" s="3"/>
    </row>
    <row r="95" spans="7:7" s="122" customFormat="1" x14ac:dyDescent="0.2">
      <c r="G95" s="3"/>
    </row>
    <row r="96" spans="7:7" s="122" customFormat="1" x14ac:dyDescent="0.2">
      <c r="G96" s="3"/>
    </row>
    <row r="97" spans="1:9" s="122" customFormat="1" ht="14.25" customHeight="1" x14ac:dyDescent="0.2">
      <c r="A97" s="1171"/>
      <c r="B97" s="1171"/>
      <c r="C97" s="1171"/>
      <c r="D97" s="1171"/>
      <c r="E97" s="1171"/>
      <c r="F97" s="1171"/>
      <c r="G97" s="374"/>
      <c r="H97" s="1171"/>
      <c r="I97" s="1171"/>
    </row>
    <row r="98" spans="1:9" s="122" customFormat="1" ht="14.25" customHeight="1" x14ac:dyDescent="0.2">
      <c r="A98" s="1171"/>
      <c r="B98" s="1171"/>
      <c r="C98" s="1171"/>
      <c r="D98" s="1171"/>
      <c r="E98" s="1171"/>
      <c r="F98" s="1171"/>
      <c r="G98" s="374"/>
      <c r="H98" s="1171"/>
      <c r="I98" s="1171"/>
    </row>
    <row r="99" spans="1:9" s="122" customFormat="1" ht="14.25" customHeight="1" x14ac:dyDescent="0.2">
      <c r="A99" s="1171"/>
      <c r="B99" s="1171"/>
      <c r="C99" s="1171"/>
      <c r="D99" s="1171"/>
      <c r="E99" s="1171"/>
      <c r="F99" s="1171"/>
      <c r="G99" s="374"/>
      <c r="H99" s="1171"/>
      <c r="I99" s="1171"/>
    </row>
    <row r="100" spans="1:9" s="122" customFormat="1" ht="14.25" customHeight="1" x14ac:dyDescent="0.2">
      <c r="A100" s="1171"/>
      <c r="B100" s="1171"/>
      <c r="C100" s="1171"/>
      <c r="D100" s="1171"/>
      <c r="E100" s="1171"/>
      <c r="F100" s="1171"/>
      <c r="G100" s="374"/>
      <c r="H100" s="1171"/>
      <c r="I100" s="1171"/>
    </row>
    <row r="101" spans="1:9" s="122" customFormat="1" ht="14.25" customHeight="1" x14ac:dyDescent="0.2">
      <c r="A101" s="1055" t="s">
        <v>426</v>
      </c>
      <c r="B101" s="1056">
        <f>IFERROR(VLOOKUP($A101,'Cash Forecast_8A'!$B$85:$J$95,2,FALSE),"")</f>
        <v>86035.733999999997</v>
      </c>
      <c r="C101" s="1056">
        <f>IFERROR(VLOOKUP($A101,'Cash Forecast_8A'!$B$85:$J$95,3,FALSE),"")</f>
        <v>0</v>
      </c>
      <c r="D101" s="1056">
        <f>IFERROR(VLOOKUP($A101,'Cash Forecast_8A'!$B$85:$J$95,4,FALSE),"")</f>
        <v>0</v>
      </c>
      <c r="E101" s="1056">
        <f>IFERROR(VLOOKUP($A101,'Cash Forecast_8A'!$B$85:$J$95,5,FALSE),"")</f>
        <v>0</v>
      </c>
      <c r="F101" s="1056">
        <f>IFERROR(VLOOKUP($A101,'Cash Forecast_8A'!$B$85:$J$95,6,FALSE),"")</f>
        <v>86035.733999999997</v>
      </c>
      <c r="G101" s="1056">
        <f>IFERROR(VLOOKUP($A101,'Cash Forecast_8A'!$B$85:$J$95,7,FALSE),"")</f>
        <v>0</v>
      </c>
      <c r="H101" s="1056">
        <f>IFERROR(VLOOKUP($A101,'Cash Forecast_8A'!$B$85:$J$95,8,FALSE),"")</f>
        <v>0</v>
      </c>
      <c r="I101" s="1056">
        <f>IFERROR(VLOOKUP($A101,'Cash Forecast_8A'!$B$85:$J$95,9,FALSE),"")</f>
        <v>0</v>
      </c>
    </row>
    <row r="102" spans="1:9" s="122" customFormat="1" ht="14.25" customHeight="1" x14ac:dyDescent="0.2">
      <c r="A102" s="1055" t="s">
        <v>428</v>
      </c>
      <c r="B102" s="1056">
        <f>IFERROR(VLOOKUP($A102,'Cash Forecast_8A'!$B$85:$J$95,2,FALSE),"")</f>
        <v>0</v>
      </c>
      <c r="C102" s="1056">
        <f>IFERROR(VLOOKUP($A102,'Cash Forecast_8A'!$B$85:$J$95,3,FALSE),"")</f>
        <v>0</v>
      </c>
      <c r="D102" s="1056">
        <f>IFERROR(VLOOKUP($A102,'Cash Forecast_8A'!$B$85:$J$95,4,FALSE),"")</f>
        <v>0</v>
      </c>
      <c r="E102" s="1056">
        <f>IFERROR(VLOOKUP($A102,'Cash Forecast_8A'!$B$85:$J$95,5,FALSE),"")</f>
        <v>0</v>
      </c>
      <c r="F102" s="1056">
        <f>IFERROR(VLOOKUP($A102,'Cash Forecast_8A'!$B$85:$J$95,6,FALSE),"")</f>
        <v>0</v>
      </c>
      <c r="G102" s="1056">
        <f>IFERROR(VLOOKUP($A102,'Cash Forecast_8A'!$B$85:$J$95,7,FALSE),"")</f>
        <v>0</v>
      </c>
      <c r="H102" s="1056">
        <f>IFERROR(VLOOKUP($A102,'Cash Forecast_8A'!$B$85:$J$95,8,FALSE),"")</f>
        <v>0</v>
      </c>
      <c r="I102" s="1056">
        <f>IFERROR(VLOOKUP($A102,'Cash Forecast_8A'!$B$85:$J$95,9,FALSE),"")</f>
        <v>0</v>
      </c>
    </row>
    <row r="103" spans="1:9" s="122" customFormat="1" ht="14.25" customHeight="1" x14ac:dyDescent="0.2">
      <c r="A103" s="1055" t="s">
        <v>427</v>
      </c>
      <c r="B103" s="1056">
        <f>IFERROR(VLOOKUP($A103,'Cash Forecast_8A'!$B$85:$J$95,2,FALSE),"")</f>
        <v>1074149</v>
      </c>
      <c r="C103" s="1056">
        <f>IFERROR(VLOOKUP($A103,'Cash Forecast_8A'!$B$85:$J$95,3,FALSE),"")</f>
        <v>266688</v>
      </c>
      <c r="D103" s="1056">
        <f>IFERROR(VLOOKUP($A103,'Cash Forecast_8A'!$B$85:$J$95,4,FALSE),"")</f>
        <v>207852</v>
      </c>
      <c r="E103" s="1056">
        <f>IFERROR(VLOOKUP($A103,'Cash Forecast_8A'!$B$85:$J$95,5,FALSE),"")</f>
        <v>0</v>
      </c>
      <c r="F103" s="1056">
        <f>IFERROR(VLOOKUP($A103,'Cash Forecast_8A'!$B$85:$J$95,6,FALSE),"")</f>
        <v>1548689</v>
      </c>
      <c r="G103" s="1056">
        <f>IFERROR(VLOOKUP($A103,'Cash Forecast_8A'!$B$85:$J$95,7,FALSE),"")</f>
        <v>0</v>
      </c>
      <c r="H103" s="1056">
        <f>IFERROR(VLOOKUP($A103,'Cash Forecast_8A'!$B$85:$J$95,8,FALSE),"")</f>
        <v>0</v>
      </c>
      <c r="I103" s="1056">
        <f>IFERROR(VLOOKUP($A103,'Cash Forecast_8A'!$B$85:$J$95,9,FALSE),"")</f>
        <v>0</v>
      </c>
    </row>
    <row r="104" spans="1:9" s="122" customFormat="1" ht="14.25" x14ac:dyDescent="0.2">
      <c r="A104" s="1055" t="s">
        <v>583</v>
      </c>
      <c r="B104" s="1056">
        <f>IFERROR(VLOOKUP($A104,'Cash Forecast_8A'!$B$85:$J$95,2,FALSE),"")</f>
        <v>0</v>
      </c>
      <c r="C104" s="1056">
        <f>IFERROR(VLOOKUP($A104,'Cash Forecast_8A'!$B$85:$J$95,3,FALSE),"")</f>
        <v>0</v>
      </c>
      <c r="D104" s="1056">
        <f>IFERROR(VLOOKUP($A104,'Cash Forecast_8A'!$B$85:$J$95,4,FALSE),"")</f>
        <v>0</v>
      </c>
      <c r="E104" s="1056">
        <f>IFERROR(VLOOKUP($A104,'Cash Forecast_8A'!$B$85:$J$95,5,FALSE),"")</f>
        <v>0</v>
      </c>
      <c r="F104" s="1056">
        <f>IFERROR(VLOOKUP($A104,'Cash Forecast_8A'!$B$85:$J$95,6,FALSE),"")</f>
        <v>0</v>
      </c>
      <c r="G104" s="1056">
        <f>IFERROR(VLOOKUP($A104,'Cash Forecast_8A'!$B$85:$J$95,7,FALSE),"")</f>
        <v>0</v>
      </c>
      <c r="H104" s="1056">
        <f>IFERROR(VLOOKUP($A104,'Cash Forecast_8A'!$B$85:$J$95,8,FALSE),"")</f>
        <v>0</v>
      </c>
      <c r="I104" s="1056">
        <f>IFERROR(VLOOKUP($A104,'Cash Forecast_8A'!$B$85:$J$95,9,FALSE),"")</f>
        <v>0</v>
      </c>
    </row>
    <row r="105" spans="1:9" s="122" customFormat="1" ht="14.25" x14ac:dyDescent="0.2">
      <c r="A105" s="1055" t="s">
        <v>428</v>
      </c>
      <c r="B105" s="1056">
        <f>IFERROR(VLOOKUP($A105,'Cash Forecast_8A'!$B$96:$J$102,2,FALSE),"")</f>
        <v>0</v>
      </c>
      <c r="C105" s="1056">
        <f>IFERROR(VLOOKUP($A105,'Cash Forecast_8A'!$B$96:$J$102,3,FALSE),"")</f>
        <v>0</v>
      </c>
      <c r="D105" s="1056">
        <f>IFERROR(VLOOKUP($A105,'Cash Forecast_8A'!$B$96:$J$102,4,FALSE),"")</f>
        <v>0</v>
      </c>
      <c r="E105" s="1056">
        <f>IFERROR(VLOOKUP($A105,'Cash Forecast_8A'!$B$96:$J$102,5,FALSE),"")</f>
        <v>0</v>
      </c>
      <c r="F105" s="1056">
        <f>IFERROR(VLOOKUP($A105,'Cash Forecast_8A'!$B$96:$J$102,6,FALSE),"")</f>
        <v>0</v>
      </c>
      <c r="G105" s="1056">
        <f>IFERROR(VLOOKUP($A105,'Cash Forecast_8A'!$B$96:$J$102,7,FALSE),"")</f>
        <v>0</v>
      </c>
      <c r="H105" s="1056">
        <f>IFERROR(VLOOKUP($A105,'Cash Forecast_8A'!$B$96:$J$102,8,FALSE),"")</f>
        <v>0</v>
      </c>
      <c r="I105" s="1056">
        <f>IFERROR(VLOOKUP($A105,'Cash Forecast_8A'!$B$96:$J$102,9,FALSE),"")</f>
        <v>0</v>
      </c>
    </row>
    <row r="106" spans="1:9" s="122" customFormat="1" ht="14.25" x14ac:dyDescent="0.2">
      <c r="A106" s="1055" t="s">
        <v>427</v>
      </c>
      <c r="B106" s="1056">
        <f>IFERROR(VLOOKUP($A106,'Cash Forecast_8A'!$B$96:$J$102,2,FALSE),"")</f>
        <v>0</v>
      </c>
      <c r="C106" s="1056">
        <f>IFERROR(VLOOKUP($A106,'Cash Forecast_8A'!$B$96:$J$102,3,FALSE),"")</f>
        <v>0</v>
      </c>
      <c r="D106" s="1056">
        <f>IFERROR(VLOOKUP($A106,'Cash Forecast_8A'!$B$96:$J$102,4,FALSE),"")</f>
        <v>0</v>
      </c>
      <c r="E106" s="1056">
        <f>IFERROR(VLOOKUP($A106,'Cash Forecast_8A'!$B$96:$J$102,5,FALSE),"")</f>
        <v>0</v>
      </c>
      <c r="F106" s="1056">
        <f>IFERROR(VLOOKUP($A106,'Cash Forecast_8A'!$B$96:$J$102,6,FALSE),"")</f>
        <v>0</v>
      </c>
      <c r="G106" s="1056">
        <f>IFERROR(VLOOKUP($A106,'Cash Forecast_8A'!$B$96:$J$102,7,FALSE),"")</f>
        <v>0</v>
      </c>
      <c r="H106" s="1056">
        <f>IFERROR(VLOOKUP($A106,'Cash Forecast_8A'!$B$96:$J$102,8,FALSE),"")</f>
        <v>0</v>
      </c>
      <c r="I106" s="1056">
        <f>IFERROR(VLOOKUP($A106,'Cash Forecast_8A'!$B$96:$J$102,9,FALSE),"")</f>
        <v>0</v>
      </c>
    </row>
    <row r="107" spans="1:9" s="122" customFormat="1" ht="14.25" x14ac:dyDescent="0.2">
      <c r="A107" s="1055" t="s">
        <v>583</v>
      </c>
      <c r="B107" s="1056">
        <f>IFERROR(VLOOKUP($A107,'Cash Forecast_8A'!$B$96:$J$102,2,FALSE),"")</f>
        <v>0</v>
      </c>
      <c r="C107" s="1056">
        <f>IFERROR(VLOOKUP($A107,'Cash Forecast_8A'!$B$96:$J$102,3,FALSE),"")</f>
        <v>0</v>
      </c>
      <c r="D107" s="1056">
        <f>IFERROR(VLOOKUP($A107,'Cash Forecast_8A'!$B$96:$J$102,4,FALSE),"")</f>
        <v>0</v>
      </c>
      <c r="E107" s="1056">
        <f>IFERROR(VLOOKUP($A107,'Cash Forecast_8A'!$B$96:$J$102,5,FALSE),"")</f>
        <v>0</v>
      </c>
      <c r="F107" s="1056">
        <f>IFERROR(VLOOKUP($A107,'Cash Forecast_8A'!$B$96:$J$102,6,FALSE),"")</f>
        <v>0</v>
      </c>
      <c r="G107" s="1056">
        <f>IFERROR(VLOOKUP($A107,'Cash Forecast_8A'!$B$96:$J$102,7,FALSE),"")</f>
        <v>0</v>
      </c>
      <c r="H107" s="1056">
        <f>IFERROR(VLOOKUP($A107,'Cash Forecast_8A'!$B$96:$J$102,8,FALSE),"")</f>
        <v>0</v>
      </c>
      <c r="I107" s="1056">
        <f>IFERROR(VLOOKUP($A107,'Cash Forecast_8A'!$B$96:$J$102,9,FALSE),"")</f>
        <v>0</v>
      </c>
    </row>
    <row r="108" spans="1:9" s="122" customFormat="1" x14ac:dyDescent="0.2">
      <c r="A108" s="1171"/>
      <c r="B108" s="1171"/>
      <c r="C108" s="1171"/>
      <c r="D108" s="1171"/>
      <c r="E108" s="1171"/>
      <c r="F108" s="1171"/>
      <c r="G108" s="374"/>
      <c r="H108" s="1171"/>
      <c r="I108" s="1171"/>
    </row>
    <row r="109" spans="1:9" s="122" customFormat="1" x14ac:dyDescent="0.2">
      <c r="A109" s="1171"/>
      <c r="B109" s="1171"/>
      <c r="C109" s="1171"/>
      <c r="D109" s="1171"/>
      <c r="E109" s="1171"/>
      <c r="F109" s="1171"/>
      <c r="G109" s="374"/>
      <c r="H109" s="1171"/>
      <c r="I109" s="1171"/>
    </row>
    <row r="110" spans="1:9" s="122" customFormat="1" x14ac:dyDescent="0.2">
      <c r="A110" s="1171"/>
      <c r="B110" s="1171"/>
      <c r="C110" s="1171"/>
      <c r="D110" s="1171"/>
      <c r="E110" s="1171"/>
      <c r="F110" s="1171"/>
      <c r="G110" s="374"/>
      <c r="H110" s="1171"/>
      <c r="I110" s="1171"/>
    </row>
    <row r="111" spans="1:9" s="122" customFormat="1" x14ac:dyDescent="0.2">
      <c r="A111" s="1171"/>
      <c r="B111" s="1171"/>
      <c r="C111" s="1171"/>
      <c r="D111" s="1171"/>
      <c r="E111" s="1171"/>
      <c r="F111" s="1171"/>
      <c r="G111" s="374"/>
      <c r="H111" s="1171"/>
      <c r="I111" s="1171"/>
    </row>
    <row r="112" spans="1:9" s="122" customFormat="1" x14ac:dyDescent="0.2">
      <c r="G112" s="3"/>
    </row>
    <row r="113" spans="7:7" s="122" customFormat="1" x14ac:dyDescent="0.2">
      <c r="G113" s="3"/>
    </row>
    <row r="114" spans="7:7" s="122" customFormat="1" x14ac:dyDescent="0.2">
      <c r="G114" s="3"/>
    </row>
    <row r="115" spans="7:7" s="122" customFormat="1" x14ac:dyDescent="0.2">
      <c r="G115" s="3"/>
    </row>
    <row r="116" spans="7:7" s="122" customFormat="1" x14ac:dyDescent="0.2">
      <c r="G116" s="3"/>
    </row>
    <row r="117" spans="7:7" s="122" customFormat="1" x14ac:dyDescent="0.2">
      <c r="G117" s="3"/>
    </row>
    <row r="118" spans="7:7" x14ac:dyDescent="0.2">
      <c r="G118" s="3"/>
    </row>
    <row r="119" spans="7:7" x14ac:dyDescent="0.2">
      <c r="G119" s="3"/>
    </row>
    <row r="120" spans="7:7" x14ac:dyDescent="0.2">
      <c r="G120" s="3"/>
    </row>
    <row r="121" spans="7:7" x14ac:dyDescent="0.2">
      <c r="G121" s="3"/>
    </row>
  </sheetData>
  <sheetProtection algorithmName="SHA-512" hashValue="//7mZSr1LF8SQ/HTkVK+utiPixf0H5eJa0idovxEWjxB6f8RWGWiSA3kc9Q5+kO7IYJl+eVF91ZrVLkQgsHwvQ==" saltValue="A1hsqfI23KI1blG06VgNig==" spinCount="100000" sheet="1" objects="1" scenarios="1" formatColumns="0" formatRows="0" sort="0" autoFilter="0"/>
  <mergeCells count="22">
    <mergeCell ref="A1:R1"/>
    <mergeCell ref="A7:X7"/>
    <mergeCell ref="P8:X8"/>
    <mergeCell ref="B10:E10"/>
    <mergeCell ref="H10:I10"/>
    <mergeCell ref="P10:X27"/>
    <mergeCell ref="E3:H3"/>
    <mergeCell ref="E4:H4"/>
    <mergeCell ref="L15:L16"/>
    <mergeCell ref="L17:L18"/>
    <mergeCell ref="E64:K64"/>
    <mergeCell ref="E65:K65"/>
    <mergeCell ref="E68:J68"/>
    <mergeCell ref="E70:K74"/>
    <mergeCell ref="A33:X33"/>
    <mergeCell ref="B36:E36"/>
    <mergeCell ref="H36:I36"/>
    <mergeCell ref="P36:X53"/>
    <mergeCell ref="E63:K63"/>
    <mergeCell ref="P34:X34"/>
    <mergeCell ref="L41:L42"/>
    <mergeCell ref="L43:L44"/>
  </mergeCells>
  <conditionalFormatting sqref="L15:L16">
    <cfRule type="expression" dxfId="23" priority="21">
      <formula>L15="WARNING - Cash in Transit not matching"</formula>
    </cfRule>
  </conditionalFormatting>
  <conditionalFormatting sqref="L17:L18">
    <cfRule type="expression" dxfId="22" priority="20">
      <formula>L17="WARNING - Cash in Transit not matching"</formula>
    </cfRule>
  </conditionalFormatting>
  <conditionalFormatting sqref="K24">
    <cfRule type="expression" dxfId="21" priority="19">
      <formula>K24="WARNING - Sum not matching"</formula>
    </cfRule>
  </conditionalFormatting>
  <conditionalFormatting sqref="K24">
    <cfRule type="expression" dxfId="20" priority="18">
      <formula>K24="WARNING - Sum not matching"</formula>
    </cfRule>
  </conditionalFormatting>
  <conditionalFormatting sqref="K25">
    <cfRule type="expression" dxfId="19" priority="17">
      <formula>K25="WARNING - Sum not matching"</formula>
    </cfRule>
  </conditionalFormatting>
  <conditionalFormatting sqref="K25">
    <cfRule type="expression" dxfId="18" priority="16">
      <formula>K25="WARNING - Sum not matching"</formula>
    </cfRule>
  </conditionalFormatting>
  <conditionalFormatting sqref="K26">
    <cfRule type="expression" dxfId="17" priority="15">
      <formula>K26="WARNING - Sum not matching"</formula>
    </cfRule>
  </conditionalFormatting>
  <conditionalFormatting sqref="K26">
    <cfRule type="expression" dxfId="16" priority="14">
      <formula>K26="WARNING - Sum not matching"</formula>
    </cfRule>
  </conditionalFormatting>
  <conditionalFormatting sqref="K29">
    <cfRule type="expression" dxfId="15" priority="13">
      <formula>K29="WARNING - Sum not matching"</formula>
    </cfRule>
  </conditionalFormatting>
  <conditionalFormatting sqref="L41:L42">
    <cfRule type="expression" dxfId="14" priority="10">
      <formula>L41="WARNING - Cash in Transit not matching"</formula>
    </cfRule>
  </conditionalFormatting>
  <conditionalFormatting sqref="L43:L44">
    <cfRule type="expression" dxfId="13" priority="9">
      <formula>L43="WARNING - Cash in Transit not matching"</formula>
    </cfRule>
  </conditionalFormatting>
  <conditionalFormatting sqref="K50">
    <cfRule type="expression" dxfId="12" priority="8">
      <formula>K50="WARNING - Sum not matching"</formula>
    </cfRule>
  </conditionalFormatting>
  <conditionalFormatting sqref="K50">
    <cfRule type="expression" dxfId="11" priority="7">
      <formula>K50="WARNING - Sum not matching"</formula>
    </cfRule>
  </conditionalFormatting>
  <conditionalFormatting sqref="K51">
    <cfRule type="expression" dxfId="10" priority="6">
      <formula>K51="WARNING - Sum not matching"</formula>
    </cfRule>
  </conditionalFormatting>
  <conditionalFormatting sqref="K51">
    <cfRule type="expression" dxfId="9" priority="5">
      <formula>K51="WARNING - Sum not matching"</formula>
    </cfRule>
  </conditionalFormatting>
  <conditionalFormatting sqref="K52">
    <cfRule type="expression" dxfId="8" priority="4">
      <formula>K52="WARNING - Sum not matching"</formula>
    </cfRule>
  </conditionalFormatting>
  <conditionalFormatting sqref="K52">
    <cfRule type="expression" dxfId="7" priority="3">
      <formula>K52="WARNING - Sum not matching"</formula>
    </cfRule>
  </conditionalFormatting>
  <conditionalFormatting sqref="K55">
    <cfRule type="expression" dxfId="6" priority="2">
      <formula>K55="WARNING - Sum not matching"</formula>
    </cfRule>
  </conditionalFormatting>
  <pageMargins left="0.70866141732283472" right="0.70866141732283472" top="0.74803149606299213" bottom="0.74803149606299213" header="0.31496062992125984" footer="0.31496062992125984"/>
  <pageSetup paperSize="8" scale="51" orientation="landscape" r:id="rId1"/>
  <extLst>
    <ext xmlns:x14="http://schemas.microsoft.com/office/spreadsheetml/2009/9/main" uri="{78C0D931-6437-407d-A8EE-F0AAD7539E65}">
      <x14:conditionalFormattings>
        <x14:conditionalFormatting xmlns:xm="http://schemas.microsoft.com/office/excel/2006/main">
          <x14:cfRule type="expression" priority="22" id="{F3BAE180-FB3B-4C26-9958-63814B78E721}">
            <xm:f>CoverSheet!$D$11="EUR"</xm:f>
            <x14:dxf>
              <numFmt numFmtId="183" formatCode="[$€-2]\ #,##0.00;[Red]\-[$€-2]\ #,##0.00"/>
            </x14:dxf>
          </x14:cfRule>
          <xm:sqref>B14:B17 C17:F17 H17:K17 B22:F25 H22:J25 H36:K37 B38:B41 C41:F41 H41:K41 B46:F49 H46:J49 K49 B36:F37 B12:F13 H12:K13</xm:sqref>
        </x14:conditionalFormatting>
        <x14:conditionalFormatting xmlns:xm="http://schemas.microsoft.com/office/excel/2006/main">
          <x14:cfRule type="expression" priority="1" id="{04B5865E-91B7-468C-8F98-6EAE3ABFED46}">
            <xm:f>CoverSheet!$D$11="EUR"</xm:f>
            <x14:dxf>
              <numFmt numFmtId="183" formatCode="[$€-2]\ #,##0.00;[Red]\-[$€-2]\ #,##0.00"/>
            </x14:dxf>
          </x14:cfRule>
          <xm:sqref>B18</xm:sqref>
        </x14:conditionalFormatting>
      </x14:conditionalFormatting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A2:P116"/>
  <sheetViews>
    <sheetView zoomScale="55" zoomScaleNormal="55" workbookViewId="0">
      <selection activeCell="F56" sqref="F56"/>
    </sheetView>
  </sheetViews>
  <sheetFormatPr defaultRowHeight="12.75" x14ac:dyDescent="0.2"/>
  <cols>
    <col min="1" max="1" width="9" customWidth="1"/>
    <col min="2" max="3" width="27.42578125" customWidth="1"/>
    <col min="4" max="4" width="27.42578125" style="1061" customWidth="1"/>
    <col min="5" max="16" width="27.42578125" customWidth="1"/>
  </cols>
  <sheetData>
    <row r="2" spans="1:16" ht="30" x14ac:dyDescent="0.2">
      <c r="A2" s="1064" t="s">
        <v>609</v>
      </c>
      <c r="B2" s="1061"/>
      <c r="C2" s="1061"/>
      <c r="E2" s="1061"/>
      <c r="F2" s="1061"/>
      <c r="G2" s="1061"/>
      <c r="H2" s="1061"/>
      <c r="I2" s="1061"/>
      <c r="J2" s="1061"/>
      <c r="K2" s="1061"/>
      <c r="L2" s="1061"/>
      <c r="M2" s="1061"/>
      <c r="N2" s="1061"/>
      <c r="O2" s="1061"/>
      <c r="P2" s="1061"/>
    </row>
    <row r="3" spans="1:16" ht="13.5" thickBot="1" x14ac:dyDescent="0.25">
      <c r="A3" s="1061"/>
      <c r="B3" s="1061"/>
      <c r="C3" s="1061"/>
      <c r="E3" s="1061"/>
      <c r="F3" s="1061"/>
      <c r="G3" s="1061"/>
      <c r="H3" s="1061"/>
      <c r="I3" s="1061"/>
      <c r="J3" s="1061"/>
      <c r="K3" s="1061"/>
      <c r="L3" s="1061"/>
      <c r="M3" s="1061"/>
      <c r="N3" s="1061"/>
      <c r="O3" s="1061"/>
      <c r="P3" s="1061"/>
    </row>
    <row r="4" spans="1:16" ht="15.75" thickBot="1" x14ac:dyDescent="0.25">
      <c r="A4" s="1061"/>
      <c r="B4" s="1758" t="s">
        <v>70</v>
      </c>
      <c r="C4" s="1759"/>
      <c r="D4" s="1759"/>
      <c r="E4" s="1759"/>
      <c r="F4" s="1759"/>
      <c r="G4" s="1759"/>
      <c r="H4" s="1759"/>
      <c r="I4" s="1759"/>
      <c r="J4" s="1760"/>
      <c r="K4" s="1764" t="s">
        <v>115</v>
      </c>
      <c r="L4" s="1765"/>
      <c r="M4" s="1766"/>
      <c r="N4" s="1761" t="s">
        <v>101</v>
      </c>
      <c r="O4" s="1762"/>
      <c r="P4" s="1763"/>
    </row>
    <row r="5" spans="1:16" ht="63" customHeight="1" x14ac:dyDescent="0.2">
      <c r="A5" s="1079" t="s">
        <v>584</v>
      </c>
      <c r="B5" s="1078" t="s">
        <v>585</v>
      </c>
      <c r="C5" s="1078" t="s">
        <v>338</v>
      </c>
      <c r="D5" s="1078" t="s">
        <v>608</v>
      </c>
      <c r="E5" s="1078" t="s">
        <v>586</v>
      </c>
      <c r="F5" s="1078" t="s">
        <v>587</v>
      </c>
      <c r="G5" s="1078" t="s">
        <v>588</v>
      </c>
      <c r="H5" s="1078" t="s">
        <v>589</v>
      </c>
      <c r="I5" s="1078" t="s">
        <v>590</v>
      </c>
      <c r="J5" s="1078" t="s">
        <v>27</v>
      </c>
      <c r="K5" s="1077" t="s">
        <v>114</v>
      </c>
      <c r="L5" s="1077" t="s">
        <v>71</v>
      </c>
      <c r="M5" s="1076" t="s">
        <v>27</v>
      </c>
      <c r="N5" s="1075" t="s">
        <v>163</v>
      </c>
      <c r="O5" s="1074" t="s">
        <v>72</v>
      </c>
      <c r="P5" s="1073" t="s">
        <v>27</v>
      </c>
    </row>
    <row r="6" spans="1:16" ht="28.5" x14ac:dyDescent="0.25">
      <c r="A6" s="1101">
        <v>1</v>
      </c>
      <c r="B6" s="1063" t="s">
        <v>1018</v>
      </c>
      <c r="C6" s="1063" t="s">
        <v>1639</v>
      </c>
      <c r="D6" s="1063" t="s">
        <v>1640</v>
      </c>
      <c r="E6" s="1071" t="s">
        <v>1644</v>
      </c>
      <c r="F6" s="1062">
        <v>8700</v>
      </c>
      <c r="G6" s="1063" t="s">
        <v>1646</v>
      </c>
      <c r="H6" s="1069" t="s">
        <v>1647</v>
      </c>
      <c r="I6" s="1069" t="s">
        <v>1647</v>
      </c>
      <c r="J6" s="1360" t="s">
        <v>1650</v>
      </c>
      <c r="K6" s="1062"/>
      <c r="L6" s="1070">
        <f>F6+K6</f>
        <v>8700</v>
      </c>
      <c r="M6" s="1102"/>
      <c r="N6" s="1072"/>
      <c r="O6" s="1067">
        <f>L6+N6</f>
        <v>8700</v>
      </c>
      <c r="P6" s="1102"/>
    </row>
    <row r="7" spans="1:16" ht="42.75" x14ac:dyDescent="0.25">
      <c r="A7" s="1101">
        <v>2</v>
      </c>
      <c r="B7" s="1063" t="s">
        <v>1018</v>
      </c>
      <c r="C7" s="1063" t="s">
        <v>1639</v>
      </c>
      <c r="D7" s="1063" t="s">
        <v>1641</v>
      </c>
      <c r="E7" s="1071" t="s">
        <v>1644</v>
      </c>
      <c r="F7" s="1062">
        <v>1500</v>
      </c>
      <c r="G7" s="1063" t="s">
        <v>1646</v>
      </c>
      <c r="H7" s="1069" t="s">
        <v>1647</v>
      </c>
      <c r="I7" s="1069" t="s">
        <v>1647</v>
      </c>
      <c r="J7" s="1360" t="s">
        <v>1650</v>
      </c>
      <c r="K7" s="1062"/>
      <c r="L7" s="1070">
        <f t="shared" ref="L7:L55" si="0">F7+K7</f>
        <v>1500</v>
      </c>
      <c r="M7" s="1102"/>
      <c r="N7" s="1068"/>
      <c r="O7" s="1067">
        <f t="shared" ref="O7:O55" si="1">L7+N7</f>
        <v>1500</v>
      </c>
      <c r="P7" s="1102"/>
    </row>
    <row r="8" spans="1:16" ht="57" x14ac:dyDescent="0.25">
      <c r="A8" s="1101">
        <v>3</v>
      </c>
      <c r="B8" s="1063" t="s">
        <v>1018</v>
      </c>
      <c r="C8" s="1063" t="s">
        <v>1639</v>
      </c>
      <c r="D8" s="1063" t="s">
        <v>1642</v>
      </c>
      <c r="E8" s="1071" t="s">
        <v>1645</v>
      </c>
      <c r="F8" s="1062">
        <v>3150</v>
      </c>
      <c r="G8" s="1063" t="s">
        <v>1646</v>
      </c>
      <c r="H8" s="1069" t="s">
        <v>1647</v>
      </c>
      <c r="I8" s="1069" t="s">
        <v>1647</v>
      </c>
      <c r="J8" s="1360" t="s">
        <v>1649</v>
      </c>
      <c r="K8" s="1062"/>
      <c r="L8" s="1070">
        <f t="shared" si="0"/>
        <v>3150</v>
      </c>
      <c r="M8" s="1102"/>
      <c r="N8" s="1068"/>
      <c r="O8" s="1067">
        <f t="shared" si="1"/>
        <v>3150</v>
      </c>
      <c r="P8" s="1102"/>
    </row>
    <row r="9" spans="1:16" ht="57" x14ac:dyDescent="0.25">
      <c r="A9" s="1101">
        <v>4</v>
      </c>
      <c r="B9" s="1063" t="s">
        <v>1018</v>
      </c>
      <c r="C9" s="1063" t="s">
        <v>1639</v>
      </c>
      <c r="D9" s="1063" t="s">
        <v>1643</v>
      </c>
      <c r="E9" s="1071" t="s">
        <v>1645</v>
      </c>
      <c r="F9" s="1062">
        <v>259440</v>
      </c>
      <c r="G9" s="1063" t="s">
        <v>1646</v>
      </c>
      <c r="H9" s="1069" t="s">
        <v>1647</v>
      </c>
      <c r="I9" s="1069" t="s">
        <v>1647</v>
      </c>
      <c r="J9" s="1360" t="s">
        <v>1648</v>
      </c>
      <c r="K9" s="1062"/>
      <c r="L9" s="1070">
        <f t="shared" si="0"/>
        <v>259440</v>
      </c>
      <c r="M9" s="1102"/>
      <c r="N9" s="1068"/>
      <c r="O9" s="1067">
        <f t="shared" si="1"/>
        <v>259440</v>
      </c>
      <c r="P9" s="1102"/>
    </row>
    <row r="10" spans="1:16" ht="15" x14ac:dyDescent="0.25">
      <c r="A10" s="1101">
        <v>5</v>
      </c>
      <c r="B10" s="1063"/>
      <c r="C10" s="1063"/>
      <c r="D10" s="1063"/>
      <c r="E10" s="1071"/>
      <c r="F10" s="1062"/>
      <c r="G10" s="1063"/>
      <c r="H10" s="1069"/>
      <c r="I10" s="1069"/>
      <c r="J10" s="1102"/>
      <c r="K10" s="1062"/>
      <c r="L10" s="1070">
        <f t="shared" si="0"/>
        <v>0</v>
      </c>
      <c r="M10" s="1102"/>
      <c r="N10" s="1068"/>
      <c r="O10" s="1067">
        <f t="shared" si="1"/>
        <v>0</v>
      </c>
      <c r="P10" s="1102"/>
    </row>
    <row r="11" spans="1:16" ht="15" x14ac:dyDescent="0.25">
      <c r="A11" s="1101">
        <v>6</v>
      </c>
      <c r="B11" s="1063"/>
      <c r="C11" s="1063"/>
      <c r="D11" s="1063"/>
      <c r="E11" s="1071"/>
      <c r="F11" s="1062"/>
      <c r="G11" s="1063"/>
      <c r="H11" s="1069"/>
      <c r="I11" s="1069"/>
      <c r="J11" s="1102"/>
      <c r="K11" s="1062"/>
      <c r="L11" s="1070">
        <f t="shared" si="0"/>
        <v>0</v>
      </c>
      <c r="M11" s="1102"/>
      <c r="N11" s="1068"/>
      <c r="O11" s="1067">
        <f t="shared" si="1"/>
        <v>0</v>
      </c>
      <c r="P11" s="1102"/>
    </row>
    <row r="12" spans="1:16" ht="15" x14ac:dyDescent="0.25">
      <c r="A12" s="1101">
        <v>7</v>
      </c>
      <c r="B12" s="1063"/>
      <c r="C12" s="1063"/>
      <c r="D12" s="1063"/>
      <c r="E12" s="1071"/>
      <c r="F12" s="1062"/>
      <c r="G12" s="1063"/>
      <c r="H12" s="1069"/>
      <c r="I12" s="1069"/>
      <c r="J12" s="1102"/>
      <c r="K12" s="1062"/>
      <c r="L12" s="1070">
        <f t="shared" si="0"/>
        <v>0</v>
      </c>
      <c r="M12" s="1102"/>
      <c r="N12" s="1068"/>
      <c r="O12" s="1067">
        <f t="shared" si="1"/>
        <v>0</v>
      </c>
      <c r="P12" s="1102"/>
    </row>
    <row r="13" spans="1:16" ht="15" x14ac:dyDescent="0.25">
      <c r="A13" s="1101">
        <v>8</v>
      </c>
      <c r="B13" s="1063"/>
      <c r="C13" s="1063"/>
      <c r="D13" s="1063"/>
      <c r="E13" s="1071"/>
      <c r="F13" s="1062"/>
      <c r="G13" s="1063"/>
      <c r="H13" s="1069"/>
      <c r="I13" s="1069"/>
      <c r="J13" s="1102"/>
      <c r="K13" s="1062"/>
      <c r="L13" s="1070">
        <f t="shared" si="0"/>
        <v>0</v>
      </c>
      <c r="M13" s="1102"/>
      <c r="N13" s="1068"/>
      <c r="O13" s="1067">
        <f t="shared" si="1"/>
        <v>0</v>
      </c>
      <c r="P13" s="1102"/>
    </row>
    <row r="14" spans="1:16" ht="15" x14ac:dyDescent="0.25">
      <c r="A14" s="1101">
        <v>9</v>
      </c>
      <c r="B14" s="1063"/>
      <c r="C14" s="1063"/>
      <c r="D14" s="1063"/>
      <c r="E14" s="1071"/>
      <c r="F14" s="1062"/>
      <c r="G14" s="1063"/>
      <c r="H14" s="1069"/>
      <c r="I14" s="1069"/>
      <c r="J14" s="1102"/>
      <c r="K14" s="1062"/>
      <c r="L14" s="1070">
        <f t="shared" si="0"/>
        <v>0</v>
      </c>
      <c r="M14" s="1102"/>
      <c r="N14" s="1068"/>
      <c r="O14" s="1067">
        <f t="shared" si="1"/>
        <v>0</v>
      </c>
      <c r="P14" s="1102"/>
    </row>
    <row r="15" spans="1:16" ht="15" x14ac:dyDescent="0.25">
      <c r="A15" s="1101">
        <v>10</v>
      </c>
      <c r="B15" s="1063"/>
      <c r="C15" s="1063"/>
      <c r="D15" s="1063"/>
      <c r="E15" s="1071"/>
      <c r="F15" s="1062"/>
      <c r="G15" s="1063"/>
      <c r="H15" s="1069"/>
      <c r="I15" s="1069"/>
      <c r="J15" s="1102"/>
      <c r="K15" s="1062"/>
      <c r="L15" s="1070">
        <f t="shared" si="0"/>
        <v>0</v>
      </c>
      <c r="M15" s="1102"/>
      <c r="N15" s="1068"/>
      <c r="O15" s="1067">
        <f t="shared" si="1"/>
        <v>0</v>
      </c>
      <c r="P15" s="1102"/>
    </row>
    <row r="16" spans="1:16" ht="15" x14ac:dyDescent="0.25">
      <c r="A16" s="1101">
        <v>11</v>
      </c>
      <c r="B16" s="1063"/>
      <c r="C16" s="1063"/>
      <c r="D16" s="1063"/>
      <c r="E16" s="1071"/>
      <c r="F16" s="1062"/>
      <c r="G16" s="1063"/>
      <c r="H16" s="1069"/>
      <c r="I16" s="1069"/>
      <c r="J16" s="1102"/>
      <c r="K16" s="1062"/>
      <c r="L16" s="1070">
        <f t="shared" si="0"/>
        <v>0</v>
      </c>
      <c r="M16" s="1102"/>
      <c r="N16" s="1068"/>
      <c r="O16" s="1067">
        <f t="shared" si="1"/>
        <v>0</v>
      </c>
      <c r="P16" s="1102"/>
    </row>
    <row r="17" spans="1:16" ht="15" x14ac:dyDescent="0.25">
      <c r="A17" s="1101">
        <v>12</v>
      </c>
      <c r="B17" s="1063"/>
      <c r="C17" s="1063"/>
      <c r="D17" s="1063"/>
      <c r="E17" s="1071"/>
      <c r="F17" s="1062"/>
      <c r="G17" s="1063"/>
      <c r="H17" s="1069"/>
      <c r="I17" s="1069"/>
      <c r="J17" s="1102"/>
      <c r="K17" s="1062"/>
      <c r="L17" s="1070">
        <f t="shared" si="0"/>
        <v>0</v>
      </c>
      <c r="M17" s="1102"/>
      <c r="N17" s="1068"/>
      <c r="O17" s="1067">
        <f t="shared" si="1"/>
        <v>0</v>
      </c>
      <c r="P17" s="1102"/>
    </row>
    <row r="18" spans="1:16" ht="15" x14ac:dyDescent="0.25">
      <c r="A18" s="1101">
        <v>13</v>
      </c>
      <c r="B18" s="1063"/>
      <c r="C18" s="1063"/>
      <c r="D18" s="1063"/>
      <c r="E18" s="1071"/>
      <c r="F18" s="1062"/>
      <c r="G18" s="1063"/>
      <c r="H18" s="1069"/>
      <c r="I18" s="1069"/>
      <c r="J18" s="1102"/>
      <c r="K18" s="1062"/>
      <c r="L18" s="1070">
        <f t="shared" si="0"/>
        <v>0</v>
      </c>
      <c r="M18" s="1102"/>
      <c r="N18" s="1068"/>
      <c r="O18" s="1067">
        <f t="shared" si="1"/>
        <v>0</v>
      </c>
      <c r="P18" s="1102"/>
    </row>
    <row r="19" spans="1:16" ht="15" x14ac:dyDescent="0.25">
      <c r="A19" s="1101">
        <v>14</v>
      </c>
      <c r="B19" s="1063"/>
      <c r="C19" s="1063"/>
      <c r="D19" s="1063"/>
      <c r="E19" s="1071"/>
      <c r="F19" s="1062"/>
      <c r="G19" s="1063"/>
      <c r="H19" s="1069"/>
      <c r="I19" s="1069"/>
      <c r="J19" s="1102"/>
      <c r="K19" s="1062"/>
      <c r="L19" s="1070">
        <f t="shared" si="0"/>
        <v>0</v>
      </c>
      <c r="M19" s="1102"/>
      <c r="N19" s="1068"/>
      <c r="O19" s="1067">
        <f t="shared" si="1"/>
        <v>0</v>
      </c>
      <c r="P19" s="1102"/>
    </row>
    <row r="20" spans="1:16" ht="15" x14ac:dyDescent="0.25">
      <c r="A20" s="1101">
        <v>15</v>
      </c>
      <c r="B20" s="1063"/>
      <c r="C20" s="1063"/>
      <c r="D20" s="1063"/>
      <c r="E20" s="1071"/>
      <c r="F20" s="1062"/>
      <c r="G20" s="1063"/>
      <c r="H20" s="1069"/>
      <c r="I20" s="1069"/>
      <c r="J20" s="1102"/>
      <c r="K20" s="1062"/>
      <c r="L20" s="1070">
        <f t="shared" si="0"/>
        <v>0</v>
      </c>
      <c r="M20" s="1102"/>
      <c r="N20" s="1068"/>
      <c r="O20" s="1067">
        <f t="shared" si="1"/>
        <v>0</v>
      </c>
      <c r="P20" s="1102"/>
    </row>
    <row r="21" spans="1:16" ht="15" x14ac:dyDescent="0.25">
      <c r="A21" s="1101">
        <v>16</v>
      </c>
      <c r="B21" s="1063"/>
      <c r="C21" s="1063"/>
      <c r="D21" s="1063"/>
      <c r="E21" s="1071"/>
      <c r="F21" s="1062"/>
      <c r="G21" s="1063"/>
      <c r="H21" s="1069"/>
      <c r="I21" s="1069"/>
      <c r="J21" s="1102"/>
      <c r="K21" s="1062"/>
      <c r="L21" s="1070">
        <f t="shared" si="0"/>
        <v>0</v>
      </c>
      <c r="M21" s="1102"/>
      <c r="N21" s="1068"/>
      <c r="O21" s="1067">
        <f t="shared" si="1"/>
        <v>0</v>
      </c>
      <c r="P21" s="1102"/>
    </row>
    <row r="22" spans="1:16" ht="15" x14ac:dyDescent="0.25">
      <c r="A22" s="1101">
        <v>17</v>
      </c>
      <c r="B22" s="1063"/>
      <c r="C22" s="1063"/>
      <c r="D22" s="1063"/>
      <c r="E22" s="1071"/>
      <c r="F22" s="1062"/>
      <c r="G22" s="1063"/>
      <c r="H22" s="1069"/>
      <c r="I22" s="1069"/>
      <c r="J22" s="1102"/>
      <c r="K22" s="1062"/>
      <c r="L22" s="1070">
        <f t="shared" si="0"/>
        <v>0</v>
      </c>
      <c r="M22" s="1102"/>
      <c r="N22" s="1068"/>
      <c r="O22" s="1067">
        <f t="shared" si="1"/>
        <v>0</v>
      </c>
      <c r="P22" s="1102"/>
    </row>
    <row r="23" spans="1:16" ht="15" x14ac:dyDescent="0.25">
      <c r="A23" s="1101">
        <v>18</v>
      </c>
      <c r="B23" s="1063"/>
      <c r="C23" s="1063"/>
      <c r="D23" s="1063"/>
      <c r="E23" s="1071"/>
      <c r="F23" s="1062"/>
      <c r="G23" s="1063"/>
      <c r="H23" s="1069"/>
      <c r="I23" s="1069"/>
      <c r="J23" s="1102"/>
      <c r="K23" s="1062"/>
      <c r="L23" s="1070">
        <f t="shared" si="0"/>
        <v>0</v>
      </c>
      <c r="M23" s="1102"/>
      <c r="N23" s="1068"/>
      <c r="O23" s="1067">
        <f t="shared" si="1"/>
        <v>0</v>
      </c>
      <c r="P23" s="1102"/>
    </row>
    <row r="24" spans="1:16" ht="15" x14ac:dyDescent="0.25">
      <c r="A24" s="1101">
        <v>19</v>
      </c>
      <c r="B24" s="1063"/>
      <c r="C24" s="1063"/>
      <c r="D24" s="1063"/>
      <c r="E24" s="1071"/>
      <c r="F24" s="1062"/>
      <c r="G24" s="1063"/>
      <c r="H24" s="1069"/>
      <c r="I24" s="1069"/>
      <c r="J24" s="1102"/>
      <c r="K24" s="1062"/>
      <c r="L24" s="1070">
        <f t="shared" si="0"/>
        <v>0</v>
      </c>
      <c r="M24" s="1102"/>
      <c r="N24" s="1068"/>
      <c r="O24" s="1067">
        <f t="shared" si="1"/>
        <v>0</v>
      </c>
      <c r="P24" s="1102"/>
    </row>
    <row r="25" spans="1:16" ht="15" x14ac:dyDescent="0.25">
      <c r="A25" s="1101">
        <v>20</v>
      </c>
      <c r="B25" s="1063"/>
      <c r="C25" s="1063"/>
      <c r="D25" s="1063"/>
      <c r="E25" s="1071"/>
      <c r="F25" s="1062"/>
      <c r="G25" s="1063"/>
      <c r="H25" s="1069"/>
      <c r="I25" s="1069"/>
      <c r="J25" s="1102"/>
      <c r="K25" s="1062"/>
      <c r="L25" s="1070">
        <f t="shared" si="0"/>
        <v>0</v>
      </c>
      <c r="M25" s="1102"/>
      <c r="N25" s="1068"/>
      <c r="O25" s="1067">
        <f t="shared" si="1"/>
        <v>0</v>
      </c>
      <c r="P25" s="1102"/>
    </row>
    <row r="26" spans="1:16" ht="15" hidden="1" x14ac:dyDescent="0.25">
      <c r="A26" s="1101">
        <v>21</v>
      </c>
      <c r="B26" s="1063"/>
      <c r="C26" s="1063"/>
      <c r="D26" s="1063"/>
      <c r="E26" s="1071"/>
      <c r="F26" s="1062"/>
      <c r="G26" s="1063"/>
      <c r="H26" s="1069"/>
      <c r="I26" s="1069"/>
      <c r="J26" s="1102"/>
      <c r="K26" s="1062"/>
      <c r="L26" s="1070">
        <f t="shared" si="0"/>
        <v>0</v>
      </c>
      <c r="M26" s="1102"/>
      <c r="N26" s="1068"/>
      <c r="O26" s="1067">
        <f t="shared" si="1"/>
        <v>0</v>
      </c>
      <c r="P26" s="1102"/>
    </row>
    <row r="27" spans="1:16" ht="15" hidden="1" x14ac:dyDescent="0.25">
      <c r="A27" s="1101">
        <v>22</v>
      </c>
      <c r="B27" s="1063"/>
      <c r="C27" s="1063"/>
      <c r="D27" s="1063"/>
      <c r="E27" s="1071"/>
      <c r="F27" s="1062"/>
      <c r="G27" s="1063"/>
      <c r="H27" s="1069"/>
      <c r="I27" s="1069"/>
      <c r="J27" s="1102"/>
      <c r="K27" s="1062"/>
      <c r="L27" s="1070">
        <f t="shared" si="0"/>
        <v>0</v>
      </c>
      <c r="M27" s="1102"/>
      <c r="N27" s="1068"/>
      <c r="O27" s="1067">
        <f t="shared" si="1"/>
        <v>0</v>
      </c>
      <c r="P27" s="1102"/>
    </row>
    <row r="28" spans="1:16" ht="15" hidden="1" x14ac:dyDescent="0.25">
      <c r="A28" s="1101">
        <v>23</v>
      </c>
      <c r="B28" s="1063"/>
      <c r="C28" s="1063"/>
      <c r="D28" s="1063"/>
      <c r="E28" s="1071"/>
      <c r="F28" s="1062"/>
      <c r="G28" s="1063"/>
      <c r="H28" s="1069"/>
      <c r="I28" s="1069"/>
      <c r="J28" s="1102"/>
      <c r="K28" s="1062"/>
      <c r="L28" s="1070">
        <f t="shared" si="0"/>
        <v>0</v>
      </c>
      <c r="M28" s="1102"/>
      <c r="N28" s="1068"/>
      <c r="O28" s="1067">
        <f t="shared" si="1"/>
        <v>0</v>
      </c>
      <c r="P28" s="1102"/>
    </row>
    <row r="29" spans="1:16" ht="15" hidden="1" x14ac:dyDescent="0.25">
      <c r="A29" s="1101">
        <v>24</v>
      </c>
      <c r="B29" s="1063"/>
      <c r="C29" s="1063"/>
      <c r="D29" s="1063"/>
      <c r="E29" s="1071"/>
      <c r="F29" s="1062"/>
      <c r="G29" s="1063"/>
      <c r="H29" s="1069"/>
      <c r="I29" s="1069"/>
      <c r="J29" s="1102"/>
      <c r="K29" s="1062"/>
      <c r="L29" s="1070">
        <f t="shared" si="0"/>
        <v>0</v>
      </c>
      <c r="M29" s="1102"/>
      <c r="N29" s="1068"/>
      <c r="O29" s="1067">
        <f t="shared" si="1"/>
        <v>0</v>
      </c>
      <c r="P29" s="1102"/>
    </row>
    <row r="30" spans="1:16" ht="15" hidden="1" x14ac:dyDescent="0.25">
      <c r="A30" s="1101">
        <v>25</v>
      </c>
      <c r="B30" s="1063"/>
      <c r="C30" s="1063"/>
      <c r="D30" s="1063"/>
      <c r="E30" s="1071"/>
      <c r="F30" s="1062"/>
      <c r="G30" s="1063"/>
      <c r="H30" s="1069"/>
      <c r="I30" s="1069"/>
      <c r="J30" s="1102"/>
      <c r="K30" s="1062"/>
      <c r="L30" s="1070">
        <f t="shared" si="0"/>
        <v>0</v>
      </c>
      <c r="M30" s="1102"/>
      <c r="N30" s="1068"/>
      <c r="O30" s="1067">
        <f t="shared" si="1"/>
        <v>0</v>
      </c>
      <c r="P30" s="1102"/>
    </row>
    <row r="31" spans="1:16" ht="15" hidden="1" x14ac:dyDescent="0.25">
      <c r="A31" s="1101">
        <v>26</v>
      </c>
      <c r="B31" s="1063"/>
      <c r="C31" s="1063"/>
      <c r="D31" s="1063"/>
      <c r="E31" s="1071"/>
      <c r="F31" s="1062"/>
      <c r="G31" s="1063"/>
      <c r="H31" s="1069"/>
      <c r="I31" s="1069"/>
      <c r="J31" s="1102"/>
      <c r="K31" s="1062"/>
      <c r="L31" s="1070">
        <f t="shared" si="0"/>
        <v>0</v>
      </c>
      <c r="M31" s="1102"/>
      <c r="N31" s="1068"/>
      <c r="O31" s="1067">
        <f t="shared" si="1"/>
        <v>0</v>
      </c>
      <c r="P31" s="1102"/>
    </row>
    <row r="32" spans="1:16" ht="15" hidden="1" x14ac:dyDescent="0.25">
      <c r="A32" s="1101">
        <v>27</v>
      </c>
      <c r="B32" s="1063"/>
      <c r="C32" s="1063"/>
      <c r="D32" s="1063"/>
      <c r="E32" s="1071"/>
      <c r="F32" s="1062"/>
      <c r="G32" s="1063"/>
      <c r="H32" s="1069"/>
      <c r="I32" s="1069"/>
      <c r="J32" s="1102"/>
      <c r="K32" s="1062"/>
      <c r="L32" s="1070">
        <f t="shared" si="0"/>
        <v>0</v>
      </c>
      <c r="M32" s="1102"/>
      <c r="N32" s="1068"/>
      <c r="O32" s="1067">
        <f t="shared" si="1"/>
        <v>0</v>
      </c>
      <c r="P32" s="1102"/>
    </row>
    <row r="33" spans="1:16" ht="15" hidden="1" x14ac:dyDescent="0.25">
      <c r="A33" s="1101">
        <v>28</v>
      </c>
      <c r="B33" s="1063"/>
      <c r="C33" s="1063"/>
      <c r="D33" s="1063"/>
      <c r="E33" s="1071"/>
      <c r="F33" s="1062"/>
      <c r="G33" s="1063"/>
      <c r="H33" s="1069"/>
      <c r="I33" s="1069"/>
      <c r="J33" s="1102"/>
      <c r="K33" s="1062"/>
      <c r="L33" s="1070">
        <f t="shared" si="0"/>
        <v>0</v>
      </c>
      <c r="M33" s="1102"/>
      <c r="N33" s="1068"/>
      <c r="O33" s="1067">
        <f t="shared" si="1"/>
        <v>0</v>
      </c>
      <c r="P33" s="1102"/>
    </row>
    <row r="34" spans="1:16" ht="15" hidden="1" x14ac:dyDescent="0.25">
      <c r="A34" s="1101">
        <v>29</v>
      </c>
      <c r="B34" s="1063"/>
      <c r="C34" s="1063"/>
      <c r="D34" s="1063"/>
      <c r="E34" s="1071"/>
      <c r="F34" s="1062"/>
      <c r="G34" s="1063"/>
      <c r="H34" s="1069"/>
      <c r="I34" s="1069"/>
      <c r="J34" s="1102"/>
      <c r="K34" s="1062"/>
      <c r="L34" s="1070">
        <f t="shared" si="0"/>
        <v>0</v>
      </c>
      <c r="M34" s="1102"/>
      <c r="N34" s="1068"/>
      <c r="O34" s="1067">
        <f t="shared" si="1"/>
        <v>0</v>
      </c>
      <c r="P34" s="1102"/>
    </row>
    <row r="35" spans="1:16" ht="15" hidden="1" x14ac:dyDescent="0.25">
      <c r="A35" s="1101">
        <v>30</v>
      </c>
      <c r="B35" s="1063"/>
      <c r="C35" s="1063"/>
      <c r="D35" s="1063"/>
      <c r="E35" s="1071"/>
      <c r="F35" s="1062"/>
      <c r="G35" s="1063"/>
      <c r="H35" s="1069"/>
      <c r="I35" s="1069"/>
      <c r="J35" s="1102"/>
      <c r="K35" s="1062"/>
      <c r="L35" s="1070">
        <f t="shared" si="0"/>
        <v>0</v>
      </c>
      <c r="M35" s="1102"/>
      <c r="N35" s="1068"/>
      <c r="O35" s="1067">
        <f t="shared" si="1"/>
        <v>0</v>
      </c>
      <c r="P35" s="1102"/>
    </row>
    <row r="36" spans="1:16" ht="15" hidden="1" x14ac:dyDescent="0.25">
      <c r="A36" s="1101">
        <v>31</v>
      </c>
      <c r="B36" s="1063"/>
      <c r="C36" s="1063"/>
      <c r="D36" s="1063"/>
      <c r="E36" s="1071"/>
      <c r="F36" s="1062"/>
      <c r="G36" s="1063"/>
      <c r="H36" s="1069"/>
      <c r="I36" s="1069"/>
      <c r="J36" s="1102"/>
      <c r="K36" s="1062"/>
      <c r="L36" s="1070">
        <f t="shared" si="0"/>
        <v>0</v>
      </c>
      <c r="M36" s="1102"/>
      <c r="N36" s="1068"/>
      <c r="O36" s="1067">
        <f t="shared" si="1"/>
        <v>0</v>
      </c>
      <c r="P36" s="1102"/>
    </row>
    <row r="37" spans="1:16" ht="15" hidden="1" x14ac:dyDescent="0.25">
      <c r="A37" s="1101">
        <v>32</v>
      </c>
      <c r="B37" s="1063"/>
      <c r="C37" s="1063"/>
      <c r="D37" s="1063"/>
      <c r="E37" s="1071"/>
      <c r="F37" s="1062"/>
      <c r="G37" s="1063"/>
      <c r="H37" s="1069"/>
      <c r="I37" s="1069"/>
      <c r="J37" s="1102"/>
      <c r="K37" s="1062"/>
      <c r="L37" s="1070">
        <f t="shared" si="0"/>
        <v>0</v>
      </c>
      <c r="M37" s="1102"/>
      <c r="N37" s="1068"/>
      <c r="O37" s="1067">
        <f t="shared" si="1"/>
        <v>0</v>
      </c>
      <c r="P37" s="1102"/>
    </row>
    <row r="38" spans="1:16" ht="15" hidden="1" x14ac:dyDescent="0.25">
      <c r="A38" s="1101">
        <v>33</v>
      </c>
      <c r="B38" s="1063"/>
      <c r="C38" s="1063"/>
      <c r="D38" s="1063"/>
      <c r="E38" s="1071"/>
      <c r="F38" s="1062"/>
      <c r="G38" s="1063"/>
      <c r="H38" s="1069"/>
      <c r="I38" s="1069"/>
      <c r="J38" s="1102"/>
      <c r="K38" s="1062"/>
      <c r="L38" s="1070">
        <f t="shared" si="0"/>
        <v>0</v>
      </c>
      <c r="M38" s="1102"/>
      <c r="N38" s="1068"/>
      <c r="O38" s="1067">
        <f t="shared" si="1"/>
        <v>0</v>
      </c>
      <c r="P38" s="1102"/>
    </row>
    <row r="39" spans="1:16" ht="15" hidden="1" x14ac:dyDescent="0.25">
      <c r="A39" s="1101">
        <v>34</v>
      </c>
      <c r="B39" s="1063"/>
      <c r="C39" s="1063"/>
      <c r="D39" s="1063"/>
      <c r="E39" s="1071"/>
      <c r="F39" s="1062"/>
      <c r="G39" s="1063"/>
      <c r="H39" s="1069"/>
      <c r="I39" s="1069"/>
      <c r="J39" s="1102"/>
      <c r="K39" s="1062"/>
      <c r="L39" s="1070">
        <f t="shared" si="0"/>
        <v>0</v>
      </c>
      <c r="M39" s="1102"/>
      <c r="N39" s="1068"/>
      <c r="O39" s="1067">
        <f t="shared" si="1"/>
        <v>0</v>
      </c>
      <c r="P39" s="1102"/>
    </row>
    <row r="40" spans="1:16" ht="15" hidden="1" x14ac:dyDescent="0.25">
      <c r="A40" s="1101">
        <v>35</v>
      </c>
      <c r="B40" s="1063"/>
      <c r="C40" s="1063"/>
      <c r="D40" s="1063"/>
      <c r="E40" s="1071"/>
      <c r="F40" s="1062"/>
      <c r="G40" s="1063"/>
      <c r="H40" s="1069"/>
      <c r="I40" s="1069"/>
      <c r="J40" s="1102"/>
      <c r="K40" s="1062"/>
      <c r="L40" s="1070">
        <f t="shared" si="0"/>
        <v>0</v>
      </c>
      <c r="M40" s="1102"/>
      <c r="N40" s="1068"/>
      <c r="O40" s="1067">
        <f t="shared" si="1"/>
        <v>0</v>
      </c>
      <c r="P40" s="1102"/>
    </row>
    <row r="41" spans="1:16" ht="15" hidden="1" x14ac:dyDescent="0.25">
      <c r="A41" s="1101">
        <v>36</v>
      </c>
      <c r="B41" s="1063"/>
      <c r="C41" s="1063"/>
      <c r="D41" s="1063"/>
      <c r="E41" s="1071"/>
      <c r="F41" s="1062"/>
      <c r="G41" s="1063"/>
      <c r="H41" s="1069"/>
      <c r="I41" s="1069"/>
      <c r="J41" s="1102"/>
      <c r="K41" s="1062"/>
      <c r="L41" s="1070">
        <f t="shared" si="0"/>
        <v>0</v>
      </c>
      <c r="M41" s="1102"/>
      <c r="N41" s="1068"/>
      <c r="O41" s="1067">
        <f t="shared" si="1"/>
        <v>0</v>
      </c>
      <c r="P41" s="1102"/>
    </row>
    <row r="42" spans="1:16" ht="15" hidden="1" x14ac:dyDescent="0.25">
      <c r="A42" s="1101">
        <v>37</v>
      </c>
      <c r="B42" s="1063"/>
      <c r="C42" s="1063"/>
      <c r="D42" s="1063"/>
      <c r="E42" s="1071"/>
      <c r="F42" s="1062"/>
      <c r="G42" s="1063"/>
      <c r="H42" s="1069"/>
      <c r="I42" s="1069"/>
      <c r="J42" s="1102"/>
      <c r="K42" s="1062"/>
      <c r="L42" s="1070">
        <f t="shared" si="0"/>
        <v>0</v>
      </c>
      <c r="M42" s="1102"/>
      <c r="N42" s="1068"/>
      <c r="O42" s="1067">
        <f t="shared" si="1"/>
        <v>0</v>
      </c>
      <c r="P42" s="1102"/>
    </row>
    <row r="43" spans="1:16" ht="15" hidden="1" x14ac:dyDescent="0.25">
      <c r="A43" s="1101">
        <v>38</v>
      </c>
      <c r="B43" s="1063"/>
      <c r="C43" s="1063"/>
      <c r="D43" s="1063"/>
      <c r="E43" s="1071"/>
      <c r="F43" s="1062"/>
      <c r="G43" s="1063"/>
      <c r="H43" s="1069"/>
      <c r="I43" s="1069"/>
      <c r="J43" s="1102"/>
      <c r="K43" s="1062"/>
      <c r="L43" s="1070">
        <f t="shared" si="0"/>
        <v>0</v>
      </c>
      <c r="M43" s="1102"/>
      <c r="N43" s="1068"/>
      <c r="O43" s="1067">
        <f t="shared" si="1"/>
        <v>0</v>
      </c>
      <c r="P43" s="1102"/>
    </row>
    <row r="44" spans="1:16" ht="15" hidden="1" x14ac:dyDescent="0.25">
      <c r="A44" s="1101">
        <v>39</v>
      </c>
      <c r="B44" s="1063"/>
      <c r="C44" s="1063"/>
      <c r="D44" s="1063"/>
      <c r="E44" s="1071"/>
      <c r="F44" s="1062"/>
      <c r="G44" s="1063"/>
      <c r="H44" s="1069"/>
      <c r="I44" s="1069"/>
      <c r="J44" s="1102"/>
      <c r="K44" s="1062"/>
      <c r="L44" s="1070">
        <f t="shared" si="0"/>
        <v>0</v>
      </c>
      <c r="M44" s="1102"/>
      <c r="N44" s="1068"/>
      <c r="O44" s="1067">
        <f t="shared" si="1"/>
        <v>0</v>
      </c>
      <c r="P44" s="1102"/>
    </row>
    <row r="45" spans="1:16" ht="15" hidden="1" x14ac:dyDescent="0.25">
      <c r="A45" s="1101">
        <v>40</v>
      </c>
      <c r="B45" s="1063"/>
      <c r="C45" s="1063"/>
      <c r="D45" s="1063"/>
      <c r="E45" s="1071"/>
      <c r="F45" s="1062"/>
      <c r="G45" s="1063"/>
      <c r="H45" s="1069"/>
      <c r="I45" s="1069"/>
      <c r="J45" s="1102"/>
      <c r="K45" s="1062"/>
      <c r="L45" s="1070">
        <f t="shared" si="0"/>
        <v>0</v>
      </c>
      <c r="M45" s="1102"/>
      <c r="N45" s="1068"/>
      <c r="O45" s="1067">
        <f t="shared" si="1"/>
        <v>0</v>
      </c>
      <c r="P45" s="1102"/>
    </row>
    <row r="46" spans="1:16" ht="15" hidden="1" x14ac:dyDescent="0.25">
      <c r="A46" s="1101">
        <v>41</v>
      </c>
      <c r="B46" s="1063"/>
      <c r="C46" s="1063"/>
      <c r="D46" s="1063"/>
      <c r="E46" s="1071"/>
      <c r="F46" s="1062"/>
      <c r="G46" s="1063"/>
      <c r="H46" s="1069"/>
      <c r="I46" s="1069"/>
      <c r="J46" s="1102"/>
      <c r="K46" s="1062"/>
      <c r="L46" s="1070">
        <f t="shared" si="0"/>
        <v>0</v>
      </c>
      <c r="M46" s="1102"/>
      <c r="N46" s="1068"/>
      <c r="O46" s="1067">
        <f t="shared" si="1"/>
        <v>0</v>
      </c>
      <c r="P46" s="1102"/>
    </row>
    <row r="47" spans="1:16" ht="15" hidden="1" x14ac:dyDescent="0.25">
      <c r="A47" s="1101">
        <v>42</v>
      </c>
      <c r="B47" s="1063"/>
      <c r="C47" s="1063"/>
      <c r="D47" s="1063"/>
      <c r="E47" s="1071"/>
      <c r="F47" s="1062"/>
      <c r="G47" s="1063"/>
      <c r="H47" s="1069"/>
      <c r="I47" s="1069"/>
      <c r="J47" s="1102"/>
      <c r="K47" s="1062"/>
      <c r="L47" s="1070">
        <f t="shared" si="0"/>
        <v>0</v>
      </c>
      <c r="M47" s="1102"/>
      <c r="N47" s="1068"/>
      <c r="O47" s="1067">
        <f t="shared" si="1"/>
        <v>0</v>
      </c>
      <c r="P47" s="1102"/>
    </row>
    <row r="48" spans="1:16" ht="15" hidden="1" x14ac:dyDescent="0.25">
      <c r="A48" s="1101">
        <v>43</v>
      </c>
      <c r="B48" s="1063"/>
      <c r="C48" s="1063"/>
      <c r="D48" s="1063"/>
      <c r="E48" s="1071"/>
      <c r="F48" s="1062"/>
      <c r="G48" s="1063"/>
      <c r="H48" s="1069"/>
      <c r="I48" s="1069"/>
      <c r="J48" s="1102"/>
      <c r="K48" s="1062"/>
      <c r="L48" s="1070">
        <f t="shared" si="0"/>
        <v>0</v>
      </c>
      <c r="M48" s="1102"/>
      <c r="N48" s="1068"/>
      <c r="O48" s="1067">
        <f t="shared" si="1"/>
        <v>0</v>
      </c>
      <c r="P48" s="1102"/>
    </row>
    <row r="49" spans="1:16" ht="15" hidden="1" x14ac:dyDescent="0.25">
      <c r="A49" s="1101">
        <v>44</v>
      </c>
      <c r="B49" s="1063"/>
      <c r="C49" s="1063"/>
      <c r="D49" s="1063"/>
      <c r="E49" s="1071"/>
      <c r="F49" s="1062"/>
      <c r="G49" s="1063"/>
      <c r="H49" s="1069"/>
      <c r="I49" s="1069"/>
      <c r="J49" s="1102"/>
      <c r="K49" s="1062"/>
      <c r="L49" s="1070">
        <f t="shared" si="0"/>
        <v>0</v>
      </c>
      <c r="M49" s="1102"/>
      <c r="N49" s="1068"/>
      <c r="O49" s="1067">
        <f t="shared" si="1"/>
        <v>0</v>
      </c>
      <c r="P49" s="1102"/>
    </row>
    <row r="50" spans="1:16" ht="15" hidden="1" x14ac:dyDescent="0.25">
      <c r="A50" s="1101">
        <v>45</v>
      </c>
      <c r="B50" s="1063"/>
      <c r="C50" s="1063"/>
      <c r="D50" s="1063"/>
      <c r="E50" s="1071"/>
      <c r="F50" s="1062"/>
      <c r="G50" s="1063"/>
      <c r="H50" s="1069"/>
      <c r="I50" s="1069"/>
      <c r="J50" s="1102"/>
      <c r="K50" s="1062"/>
      <c r="L50" s="1070">
        <f t="shared" si="0"/>
        <v>0</v>
      </c>
      <c r="M50" s="1102"/>
      <c r="N50" s="1068"/>
      <c r="O50" s="1067">
        <f t="shared" si="1"/>
        <v>0</v>
      </c>
      <c r="P50" s="1102"/>
    </row>
    <row r="51" spans="1:16" ht="15" hidden="1" x14ac:dyDescent="0.25">
      <c r="A51" s="1101">
        <v>46</v>
      </c>
      <c r="B51" s="1063"/>
      <c r="C51" s="1063"/>
      <c r="D51" s="1063"/>
      <c r="E51" s="1071"/>
      <c r="F51" s="1062"/>
      <c r="G51" s="1063"/>
      <c r="H51" s="1069"/>
      <c r="I51" s="1069"/>
      <c r="J51" s="1102"/>
      <c r="K51" s="1062"/>
      <c r="L51" s="1070">
        <f t="shared" si="0"/>
        <v>0</v>
      </c>
      <c r="M51" s="1102"/>
      <c r="N51" s="1068"/>
      <c r="O51" s="1067">
        <f t="shared" si="1"/>
        <v>0</v>
      </c>
      <c r="P51" s="1102"/>
    </row>
    <row r="52" spans="1:16" ht="15" hidden="1" x14ac:dyDescent="0.25">
      <c r="A52" s="1101">
        <v>47</v>
      </c>
      <c r="B52" s="1063"/>
      <c r="C52" s="1063"/>
      <c r="D52" s="1063"/>
      <c r="E52" s="1071"/>
      <c r="F52" s="1062"/>
      <c r="G52" s="1063"/>
      <c r="H52" s="1069"/>
      <c r="I52" s="1069"/>
      <c r="J52" s="1102"/>
      <c r="K52" s="1062"/>
      <c r="L52" s="1070">
        <f t="shared" si="0"/>
        <v>0</v>
      </c>
      <c r="M52" s="1102"/>
      <c r="N52" s="1068"/>
      <c r="O52" s="1067">
        <f t="shared" si="1"/>
        <v>0</v>
      </c>
      <c r="P52" s="1102"/>
    </row>
    <row r="53" spans="1:16" ht="15" hidden="1" x14ac:dyDescent="0.25">
      <c r="A53" s="1101">
        <v>48</v>
      </c>
      <c r="B53" s="1063"/>
      <c r="C53" s="1063"/>
      <c r="D53" s="1063"/>
      <c r="E53" s="1071"/>
      <c r="F53" s="1062"/>
      <c r="G53" s="1063"/>
      <c r="H53" s="1069"/>
      <c r="I53" s="1069"/>
      <c r="J53" s="1102"/>
      <c r="K53" s="1062"/>
      <c r="L53" s="1070">
        <f t="shared" si="0"/>
        <v>0</v>
      </c>
      <c r="M53" s="1102"/>
      <c r="N53" s="1068"/>
      <c r="O53" s="1067">
        <f t="shared" si="1"/>
        <v>0</v>
      </c>
      <c r="P53" s="1102"/>
    </row>
    <row r="54" spans="1:16" ht="15" hidden="1" x14ac:dyDescent="0.25">
      <c r="A54" s="1101">
        <v>49</v>
      </c>
      <c r="B54" s="1063"/>
      <c r="C54" s="1063"/>
      <c r="D54" s="1063"/>
      <c r="E54" s="1071"/>
      <c r="F54" s="1062"/>
      <c r="G54" s="1063"/>
      <c r="H54" s="1069"/>
      <c r="I54" s="1069"/>
      <c r="J54" s="1102"/>
      <c r="K54" s="1062"/>
      <c r="L54" s="1070">
        <f t="shared" si="0"/>
        <v>0</v>
      </c>
      <c r="M54" s="1102"/>
      <c r="N54" s="1068"/>
      <c r="O54" s="1067">
        <f t="shared" si="1"/>
        <v>0</v>
      </c>
      <c r="P54" s="1102"/>
    </row>
    <row r="55" spans="1:16" ht="15" hidden="1" x14ac:dyDescent="0.25">
      <c r="A55" s="1101">
        <v>50</v>
      </c>
      <c r="B55" s="1063"/>
      <c r="C55" s="1063"/>
      <c r="D55" s="1063"/>
      <c r="E55" s="1071"/>
      <c r="F55" s="1062"/>
      <c r="G55" s="1063"/>
      <c r="H55" s="1069"/>
      <c r="I55" s="1069"/>
      <c r="J55" s="1102"/>
      <c r="K55" s="1062"/>
      <c r="L55" s="1070">
        <f t="shared" si="0"/>
        <v>0</v>
      </c>
      <c r="M55" s="1102"/>
      <c r="N55" s="1068"/>
      <c r="O55" s="1067">
        <f t="shared" si="1"/>
        <v>0</v>
      </c>
      <c r="P55" s="1102"/>
    </row>
    <row r="56" spans="1:16" ht="15.75" thickBot="1" x14ac:dyDescent="0.25">
      <c r="A56" s="1061"/>
      <c r="B56" s="1066" t="s">
        <v>60</v>
      </c>
      <c r="C56" s="1066"/>
      <c r="D56" s="1066"/>
      <c r="E56" s="1066"/>
      <c r="F56" s="1065">
        <f>SUM(F6:F55)</f>
        <v>272790</v>
      </c>
      <c r="G56" s="1066"/>
      <c r="H56" s="1066"/>
      <c r="I56" s="1066"/>
      <c r="J56" s="1066"/>
      <c r="K56" s="1065">
        <f>SUM(K6:K55)</f>
        <v>0</v>
      </c>
      <c r="L56" s="1065">
        <f>SUM(L6:L55)</f>
        <v>272790</v>
      </c>
      <c r="M56" s="1061"/>
      <c r="N56" s="1065">
        <f>SUM(N6:N55)</f>
        <v>0</v>
      </c>
      <c r="O56" s="1065">
        <f>SUM(O6:O55)</f>
        <v>272790</v>
      </c>
      <c r="P56" s="1061"/>
    </row>
    <row r="58" spans="1:16" ht="44.25" customHeight="1" x14ac:dyDescent="0.2">
      <c r="F58" s="1103" t="str">
        <f>IF(AND(ROUND(F56,0)=ROUND('PR Cash Reconciliation_2A,B,C,D'!D42,0)),"OK","WARNING -Financial Commitments not matching")</f>
        <v>OK</v>
      </c>
      <c r="L58" s="1103" t="str">
        <f>IF(AND(ROUND(L56,0)=ROUND('PR Cash Reconciliation_2A,B,C,D'!H42,0)),"OK","WARNING -Financial Commitments not matching")</f>
        <v>OK</v>
      </c>
    </row>
    <row r="60" spans="1:16" ht="30" x14ac:dyDescent="0.2">
      <c r="A60" s="1064" t="s">
        <v>610</v>
      </c>
      <c r="B60" s="1061"/>
      <c r="C60" s="1061"/>
      <c r="E60" s="1061"/>
      <c r="F60" s="1061"/>
      <c r="G60" s="1061"/>
      <c r="H60" s="1061"/>
      <c r="I60" s="1061"/>
      <c r="J60" s="1061"/>
      <c r="K60" s="1061"/>
      <c r="L60" s="1061"/>
      <c r="M60" s="1061"/>
      <c r="N60" s="1061"/>
      <c r="O60" s="1061"/>
      <c r="P60" s="1061"/>
    </row>
    <row r="61" spans="1:16" ht="13.5" thickBot="1" x14ac:dyDescent="0.25">
      <c r="A61" s="1061"/>
      <c r="B61" s="1061"/>
      <c r="C61" s="1061"/>
      <c r="E61" s="1061"/>
      <c r="F61" s="1061"/>
      <c r="G61" s="1061"/>
      <c r="H61" s="1061"/>
      <c r="I61" s="1061"/>
      <c r="J61" s="1061"/>
      <c r="K61" s="1061"/>
      <c r="L61" s="1061"/>
      <c r="M61" s="1061"/>
      <c r="N61" s="1061"/>
      <c r="O61" s="1061"/>
      <c r="P61" s="1061"/>
    </row>
    <row r="62" spans="1:16" ht="15.75" thickBot="1" x14ac:dyDescent="0.25">
      <c r="A62" s="1061"/>
      <c r="B62" s="1758" t="s">
        <v>70</v>
      </c>
      <c r="C62" s="1759"/>
      <c r="D62" s="1759"/>
      <c r="E62" s="1759"/>
      <c r="F62" s="1759"/>
      <c r="G62" s="1759"/>
      <c r="H62" s="1759"/>
      <c r="I62" s="1759"/>
      <c r="J62" s="1760"/>
      <c r="K62" s="1764" t="s">
        <v>115</v>
      </c>
      <c r="L62" s="1765"/>
      <c r="M62" s="1766"/>
      <c r="N62" s="1761" t="s">
        <v>101</v>
      </c>
      <c r="O62" s="1762"/>
      <c r="P62" s="1763"/>
    </row>
    <row r="63" spans="1:16" ht="60" customHeight="1" x14ac:dyDescent="0.2">
      <c r="A63" s="1079" t="s">
        <v>584</v>
      </c>
      <c r="B63" s="1078" t="s">
        <v>585</v>
      </c>
      <c r="C63" s="1078" t="s">
        <v>338</v>
      </c>
      <c r="D63" s="1078" t="s">
        <v>608</v>
      </c>
      <c r="E63" s="1078" t="s">
        <v>586</v>
      </c>
      <c r="F63" s="1078" t="s">
        <v>587</v>
      </c>
      <c r="G63" s="1078" t="s">
        <v>591</v>
      </c>
      <c r="H63" s="1078" t="s">
        <v>589</v>
      </c>
      <c r="I63" s="1767" t="s">
        <v>27</v>
      </c>
      <c r="J63" s="1768"/>
      <c r="K63" s="1077" t="s">
        <v>114</v>
      </c>
      <c r="L63" s="1077" t="s">
        <v>71</v>
      </c>
      <c r="M63" s="1076" t="s">
        <v>27</v>
      </c>
      <c r="N63" s="1075" t="s">
        <v>163</v>
      </c>
      <c r="O63" s="1074" t="s">
        <v>72</v>
      </c>
      <c r="P63" s="1073" t="s">
        <v>27</v>
      </c>
    </row>
    <row r="64" spans="1:16" ht="15" x14ac:dyDescent="0.25">
      <c r="A64" s="1101">
        <v>1</v>
      </c>
      <c r="B64" s="1063"/>
      <c r="C64" s="1063"/>
      <c r="D64" s="1063"/>
      <c r="E64" s="1071"/>
      <c r="F64" s="1062"/>
      <c r="G64" s="1063"/>
      <c r="H64" s="1069"/>
      <c r="I64" s="1754"/>
      <c r="J64" s="1755"/>
      <c r="K64" s="1062"/>
      <c r="L64" s="1070">
        <f>F64+K64</f>
        <v>0</v>
      </c>
      <c r="M64" s="1102"/>
      <c r="N64" s="1072"/>
      <c r="O64" s="1067">
        <f>L64+N64</f>
        <v>0</v>
      </c>
      <c r="P64" s="1102"/>
    </row>
    <row r="65" spans="1:16" ht="15" x14ac:dyDescent="0.25">
      <c r="A65" s="1101">
        <v>2</v>
      </c>
      <c r="B65" s="1063"/>
      <c r="C65" s="1063"/>
      <c r="D65" s="1063"/>
      <c r="E65" s="1071"/>
      <c r="F65" s="1062"/>
      <c r="G65" s="1063"/>
      <c r="H65" s="1069"/>
      <c r="I65" s="1754"/>
      <c r="J65" s="1755"/>
      <c r="K65" s="1062"/>
      <c r="L65" s="1070">
        <f t="shared" ref="L65:L113" si="2">F65+K65</f>
        <v>0</v>
      </c>
      <c r="M65" s="1102"/>
      <c r="N65" s="1068"/>
      <c r="O65" s="1067">
        <f t="shared" ref="O65:O113" si="3">L65+N65</f>
        <v>0</v>
      </c>
      <c r="P65" s="1102"/>
    </row>
    <row r="66" spans="1:16" ht="15" x14ac:dyDescent="0.25">
      <c r="A66" s="1101">
        <v>3</v>
      </c>
      <c r="B66" s="1063"/>
      <c r="C66" s="1063"/>
      <c r="D66" s="1063"/>
      <c r="E66" s="1071"/>
      <c r="F66" s="1062"/>
      <c r="G66" s="1063"/>
      <c r="H66" s="1069"/>
      <c r="I66" s="1754"/>
      <c r="J66" s="1755"/>
      <c r="K66" s="1062"/>
      <c r="L66" s="1070">
        <f t="shared" si="2"/>
        <v>0</v>
      </c>
      <c r="M66" s="1102"/>
      <c r="N66" s="1068"/>
      <c r="O66" s="1067">
        <f t="shared" si="3"/>
        <v>0</v>
      </c>
      <c r="P66" s="1102"/>
    </row>
    <row r="67" spans="1:16" ht="15" x14ac:dyDescent="0.25">
      <c r="A67" s="1101">
        <v>4</v>
      </c>
      <c r="B67" s="1063"/>
      <c r="C67" s="1063"/>
      <c r="D67" s="1063"/>
      <c r="E67" s="1071"/>
      <c r="F67" s="1062"/>
      <c r="G67" s="1063"/>
      <c r="H67" s="1069"/>
      <c r="I67" s="1754"/>
      <c r="J67" s="1755"/>
      <c r="K67" s="1062"/>
      <c r="L67" s="1070">
        <f t="shared" si="2"/>
        <v>0</v>
      </c>
      <c r="M67" s="1102"/>
      <c r="N67" s="1068"/>
      <c r="O67" s="1067">
        <f t="shared" si="3"/>
        <v>0</v>
      </c>
      <c r="P67" s="1102"/>
    </row>
    <row r="68" spans="1:16" ht="15" x14ac:dyDescent="0.25">
      <c r="A68" s="1101">
        <v>5</v>
      </c>
      <c r="B68" s="1063"/>
      <c r="C68" s="1063"/>
      <c r="D68" s="1063"/>
      <c r="E68" s="1071"/>
      <c r="F68" s="1062"/>
      <c r="G68" s="1063"/>
      <c r="H68" s="1069"/>
      <c r="I68" s="1754"/>
      <c r="J68" s="1755"/>
      <c r="K68" s="1062"/>
      <c r="L68" s="1070">
        <f t="shared" si="2"/>
        <v>0</v>
      </c>
      <c r="M68" s="1102"/>
      <c r="N68" s="1068"/>
      <c r="O68" s="1067">
        <f t="shared" si="3"/>
        <v>0</v>
      </c>
      <c r="P68" s="1102"/>
    </row>
    <row r="69" spans="1:16" ht="15" x14ac:dyDescent="0.25">
      <c r="A69" s="1101">
        <v>6</v>
      </c>
      <c r="B69" s="1063"/>
      <c r="C69" s="1063"/>
      <c r="D69" s="1063"/>
      <c r="E69" s="1071"/>
      <c r="F69" s="1062"/>
      <c r="G69" s="1063"/>
      <c r="H69" s="1069"/>
      <c r="I69" s="1754"/>
      <c r="J69" s="1755"/>
      <c r="K69" s="1062"/>
      <c r="L69" s="1070">
        <f t="shared" si="2"/>
        <v>0</v>
      </c>
      <c r="M69" s="1102"/>
      <c r="N69" s="1068"/>
      <c r="O69" s="1067">
        <f t="shared" si="3"/>
        <v>0</v>
      </c>
      <c r="P69" s="1102"/>
    </row>
    <row r="70" spans="1:16" ht="15" x14ac:dyDescent="0.25">
      <c r="A70" s="1101">
        <v>7</v>
      </c>
      <c r="B70" s="1063"/>
      <c r="C70" s="1063"/>
      <c r="D70" s="1063"/>
      <c r="E70" s="1071"/>
      <c r="F70" s="1062"/>
      <c r="G70" s="1063"/>
      <c r="H70" s="1069"/>
      <c r="I70" s="1754"/>
      <c r="J70" s="1755"/>
      <c r="K70" s="1062"/>
      <c r="L70" s="1070">
        <f t="shared" si="2"/>
        <v>0</v>
      </c>
      <c r="M70" s="1102"/>
      <c r="N70" s="1068"/>
      <c r="O70" s="1067">
        <f t="shared" si="3"/>
        <v>0</v>
      </c>
      <c r="P70" s="1102"/>
    </row>
    <row r="71" spans="1:16" ht="15" x14ac:dyDescent="0.25">
      <c r="A71" s="1101">
        <v>8</v>
      </c>
      <c r="B71" s="1063"/>
      <c r="C71" s="1063"/>
      <c r="D71" s="1063"/>
      <c r="E71" s="1071"/>
      <c r="F71" s="1062"/>
      <c r="G71" s="1063"/>
      <c r="H71" s="1069"/>
      <c r="I71" s="1754"/>
      <c r="J71" s="1755"/>
      <c r="K71" s="1062"/>
      <c r="L71" s="1070">
        <f t="shared" si="2"/>
        <v>0</v>
      </c>
      <c r="M71" s="1102"/>
      <c r="N71" s="1068"/>
      <c r="O71" s="1067">
        <f t="shared" si="3"/>
        <v>0</v>
      </c>
      <c r="P71" s="1102"/>
    </row>
    <row r="72" spans="1:16" ht="15" x14ac:dyDescent="0.25">
      <c r="A72" s="1101">
        <v>9</v>
      </c>
      <c r="B72" s="1063"/>
      <c r="C72" s="1063"/>
      <c r="D72" s="1063"/>
      <c r="E72" s="1071"/>
      <c r="F72" s="1062"/>
      <c r="G72" s="1063"/>
      <c r="H72" s="1069"/>
      <c r="I72" s="1754"/>
      <c r="J72" s="1755"/>
      <c r="K72" s="1062"/>
      <c r="L72" s="1070">
        <f t="shared" si="2"/>
        <v>0</v>
      </c>
      <c r="M72" s="1102"/>
      <c r="N72" s="1068"/>
      <c r="O72" s="1067">
        <f t="shared" si="3"/>
        <v>0</v>
      </c>
      <c r="P72" s="1102"/>
    </row>
    <row r="73" spans="1:16" ht="15" x14ac:dyDescent="0.25">
      <c r="A73" s="1101">
        <v>10</v>
      </c>
      <c r="B73" s="1063"/>
      <c r="C73" s="1063"/>
      <c r="D73" s="1063"/>
      <c r="E73" s="1071"/>
      <c r="F73" s="1062"/>
      <c r="G73" s="1063"/>
      <c r="H73" s="1069"/>
      <c r="I73" s="1754"/>
      <c r="J73" s="1755"/>
      <c r="K73" s="1062"/>
      <c r="L73" s="1070">
        <f t="shared" si="2"/>
        <v>0</v>
      </c>
      <c r="M73" s="1102"/>
      <c r="N73" s="1068"/>
      <c r="O73" s="1067">
        <f t="shared" si="3"/>
        <v>0</v>
      </c>
      <c r="P73" s="1102"/>
    </row>
    <row r="74" spans="1:16" ht="15" x14ac:dyDescent="0.25">
      <c r="A74" s="1101">
        <v>11</v>
      </c>
      <c r="B74" s="1063"/>
      <c r="C74" s="1063"/>
      <c r="D74" s="1063"/>
      <c r="E74" s="1071"/>
      <c r="F74" s="1062"/>
      <c r="G74" s="1063"/>
      <c r="H74" s="1069"/>
      <c r="I74" s="1754"/>
      <c r="J74" s="1755"/>
      <c r="K74" s="1062"/>
      <c r="L74" s="1070">
        <f t="shared" si="2"/>
        <v>0</v>
      </c>
      <c r="M74" s="1102"/>
      <c r="N74" s="1068"/>
      <c r="O74" s="1067">
        <f t="shared" si="3"/>
        <v>0</v>
      </c>
      <c r="P74" s="1102"/>
    </row>
    <row r="75" spans="1:16" ht="15" x14ac:dyDescent="0.25">
      <c r="A75" s="1101">
        <v>12</v>
      </c>
      <c r="B75" s="1063"/>
      <c r="C75" s="1063"/>
      <c r="D75" s="1063"/>
      <c r="E75" s="1071"/>
      <c r="F75" s="1062"/>
      <c r="G75" s="1063"/>
      <c r="H75" s="1069"/>
      <c r="I75" s="1754"/>
      <c r="J75" s="1755"/>
      <c r="K75" s="1062"/>
      <c r="L75" s="1070">
        <f t="shared" si="2"/>
        <v>0</v>
      </c>
      <c r="M75" s="1102"/>
      <c r="N75" s="1068"/>
      <c r="O75" s="1067">
        <f t="shared" si="3"/>
        <v>0</v>
      </c>
      <c r="P75" s="1102"/>
    </row>
    <row r="76" spans="1:16" ht="15" x14ac:dyDescent="0.25">
      <c r="A76" s="1101">
        <v>13</v>
      </c>
      <c r="B76" s="1063"/>
      <c r="C76" s="1063"/>
      <c r="D76" s="1063"/>
      <c r="E76" s="1071"/>
      <c r="F76" s="1062"/>
      <c r="G76" s="1063"/>
      <c r="H76" s="1069"/>
      <c r="I76" s="1754"/>
      <c r="J76" s="1755"/>
      <c r="K76" s="1062"/>
      <c r="L76" s="1070">
        <f t="shared" si="2"/>
        <v>0</v>
      </c>
      <c r="M76" s="1102"/>
      <c r="N76" s="1068"/>
      <c r="O76" s="1067">
        <f t="shared" si="3"/>
        <v>0</v>
      </c>
      <c r="P76" s="1102"/>
    </row>
    <row r="77" spans="1:16" ht="15" x14ac:dyDescent="0.25">
      <c r="A77" s="1101">
        <v>14</v>
      </c>
      <c r="B77" s="1063"/>
      <c r="C77" s="1063"/>
      <c r="D77" s="1063"/>
      <c r="E77" s="1071"/>
      <c r="F77" s="1062"/>
      <c r="G77" s="1063"/>
      <c r="H77" s="1069"/>
      <c r="I77" s="1754"/>
      <c r="J77" s="1755"/>
      <c r="K77" s="1062"/>
      <c r="L77" s="1070">
        <f t="shared" si="2"/>
        <v>0</v>
      </c>
      <c r="M77" s="1102"/>
      <c r="N77" s="1068"/>
      <c r="O77" s="1067">
        <f t="shared" si="3"/>
        <v>0</v>
      </c>
      <c r="P77" s="1102"/>
    </row>
    <row r="78" spans="1:16" ht="15" x14ac:dyDescent="0.25">
      <c r="A78" s="1101">
        <v>15</v>
      </c>
      <c r="B78" s="1063"/>
      <c r="C78" s="1063"/>
      <c r="D78" s="1063"/>
      <c r="E78" s="1071"/>
      <c r="F78" s="1062"/>
      <c r="G78" s="1063"/>
      <c r="H78" s="1069"/>
      <c r="I78" s="1754"/>
      <c r="J78" s="1755"/>
      <c r="K78" s="1062"/>
      <c r="L78" s="1070">
        <f t="shared" si="2"/>
        <v>0</v>
      </c>
      <c r="M78" s="1102"/>
      <c r="N78" s="1068"/>
      <c r="O78" s="1067">
        <f t="shared" si="3"/>
        <v>0</v>
      </c>
      <c r="P78" s="1102"/>
    </row>
    <row r="79" spans="1:16" ht="15" x14ac:dyDescent="0.25">
      <c r="A79" s="1101">
        <v>16</v>
      </c>
      <c r="B79" s="1063"/>
      <c r="C79" s="1063"/>
      <c r="D79" s="1063"/>
      <c r="E79" s="1071"/>
      <c r="F79" s="1062"/>
      <c r="G79" s="1063"/>
      <c r="H79" s="1069"/>
      <c r="I79" s="1754"/>
      <c r="J79" s="1755"/>
      <c r="K79" s="1062"/>
      <c r="L79" s="1070">
        <f t="shared" si="2"/>
        <v>0</v>
      </c>
      <c r="M79" s="1102"/>
      <c r="N79" s="1068"/>
      <c r="O79" s="1067">
        <f t="shared" si="3"/>
        <v>0</v>
      </c>
      <c r="P79" s="1102"/>
    </row>
    <row r="80" spans="1:16" ht="15" x14ac:dyDescent="0.25">
      <c r="A80" s="1101">
        <v>17</v>
      </c>
      <c r="B80" s="1063"/>
      <c r="C80" s="1063"/>
      <c r="D80" s="1063"/>
      <c r="E80" s="1071"/>
      <c r="F80" s="1062"/>
      <c r="G80" s="1063"/>
      <c r="H80" s="1069"/>
      <c r="I80" s="1754"/>
      <c r="J80" s="1755"/>
      <c r="K80" s="1062"/>
      <c r="L80" s="1070">
        <f t="shared" si="2"/>
        <v>0</v>
      </c>
      <c r="M80" s="1102"/>
      <c r="N80" s="1068"/>
      <c r="O80" s="1067">
        <f t="shared" si="3"/>
        <v>0</v>
      </c>
      <c r="P80" s="1102"/>
    </row>
    <row r="81" spans="1:16" ht="15" x14ac:dyDescent="0.25">
      <c r="A81" s="1101">
        <v>18</v>
      </c>
      <c r="B81" s="1063"/>
      <c r="C81" s="1063"/>
      <c r="D81" s="1063"/>
      <c r="E81" s="1071"/>
      <c r="F81" s="1062"/>
      <c r="G81" s="1063"/>
      <c r="H81" s="1069"/>
      <c r="I81" s="1754"/>
      <c r="J81" s="1755"/>
      <c r="K81" s="1062"/>
      <c r="L81" s="1070">
        <f t="shared" si="2"/>
        <v>0</v>
      </c>
      <c r="M81" s="1102"/>
      <c r="N81" s="1068"/>
      <c r="O81" s="1067">
        <f t="shared" si="3"/>
        <v>0</v>
      </c>
      <c r="P81" s="1102"/>
    </row>
    <row r="82" spans="1:16" ht="15" x14ac:dyDescent="0.25">
      <c r="A82" s="1101">
        <v>19</v>
      </c>
      <c r="B82" s="1063"/>
      <c r="C82" s="1063"/>
      <c r="D82" s="1063"/>
      <c r="E82" s="1071"/>
      <c r="F82" s="1062"/>
      <c r="G82" s="1063"/>
      <c r="H82" s="1069"/>
      <c r="I82" s="1754"/>
      <c r="J82" s="1755"/>
      <c r="K82" s="1062"/>
      <c r="L82" s="1070">
        <f t="shared" si="2"/>
        <v>0</v>
      </c>
      <c r="M82" s="1102"/>
      <c r="N82" s="1068"/>
      <c r="O82" s="1067">
        <f t="shared" si="3"/>
        <v>0</v>
      </c>
      <c r="P82" s="1102"/>
    </row>
    <row r="83" spans="1:16" ht="15" hidden="1" x14ac:dyDescent="0.25">
      <c r="A83" s="1101">
        <v>20</v>
      </c>
      <c r="B83" s="1063"/>
      <c r="C83" s="1063"/>
      <c r="D83" s="1063"/>
      <c r="E83" s="1071"/>
      <c r="F83" s="1062"/>
      <c r="G83" s="1063"/>
      <c r="H83" s="1069"/>
      <c r="I83" s="1754"/>
      <c r="J83" s="1755"/>
      <c r="K83" s="1062"/>
      <c r="L83" s="1070">
        <f t="shared" si="2"/>
        <v>0</v>
      </c>
      <c r="M83" s="1102"/>
      <c r="N83" s="1068"/>
      <c r="O83" s="1067">
        <f t="shared" si="3"/>
        <v>0</v>
      </c>
      <c r="P83" s="1102"/>
    </row>
    <row r="84" spans="1:16" ht="15" hidden="1" x14ac:dyDescent="0.25">
      <c r="A84" s="1101">
        <v>21</v>
      </c>
      <c r="B84" s="1063"/>
      <c r="C84" s="1063"/>
      <c r="D84" s="1063"/>
      <c r="E84" s="1071"/>
      <c r="F84" s="1062"/>
      <c r="G84" s="1063"/>
      <c r="H84" s="1069"/>
      <c r="I84" s="1754"/>
      <c r="J84" s="1755"/>
      <c r="K84" s="1062"/>
      <c r="L84" s="1070">
        <f t="shared" si="2"/>
        <v>0</v>
      </c>
      <c r="M84" s="1102"/>
      <c r="N84" s="1068"/>
      <c r="O84" s="1067">
        <f t="shared" si="3"/>
        <v>0</v>
      </c>
      <c r="P84" s="1102"/>
    </row>
    <row r="85" spans="1:16" ht="15" hidden="1" x14ac:dyDescent="0.25">
      <c r="A85" s="1101">
        <v>22</v>
      </c>
      <c r="B85" s="1063"/>
      <c r="C85" s="1063"/>
      <c r="D85" s="1063"/>
      <c r="E85" s="1071"/>
      <c r="F85" s="1062"/>
      <c r="G85" s="1063"/>
      <c r="H85" s="1069"/>
      <c r="I85" s="1754"/>
      <c r="J85" s="1755"/>
      <c r="K85" s="1062"/>
      <c r="L85" s="1070">
        <f t="shared" si="2"/>
        <v>0</v>
      </c>
      <c r="M85" s="1102"/>
      <c r="N85" s="1068"/>
      <c r="O85" s="1067">
        <f t="shared" si="3"/>
        <v>0</v>
      </c>
      <c r="P85" s="1102"/>
    </row>
    <row r="86" spans="1:16" ht="15" hidden="1" x14ac:dyDescent="0.25">
      <c r="A86" s="1101">
        <v>23</v>
      </c>
      <c r="B86" s="1063"/>
      <c r="C86" s="1063"/>
      <c r="D86" s="1063"/>
      <c r="E86" s="1071"/>
      <c r="F86" s="1062"/>
      <c r="G86" s="1063"/>
      <c r="H86" s="1069"/>
      <c r="I86" s="1754"/>
      <c r="J86" s="1755"/>
      <c r="K86" s="1062"/>
      <c r="L86" s="1070">
        <f t="shared" si="2"/>
        <v>0</v>
      </c>
      <c r="M86" s="1102"/>
      <c r="N86" s="1068"/>
      <c r="O86" s="1067">
        <f t="shared" si="3"/>
        <v>0</v>
      </c>
      <c r="P86" s="1102"/>
    </row>
    <row r="87" spans="1:16" ht="15" hidden="1" x14ac:dyDescent="0.25">
      <c r="A87" s="1101">
        <v>24</v>
      </c>
      <c r="B87" s="1063"/>
      <c r="C87" s="1063"/>
      <c r="D87" s="1063"/>
      <c r="E87" s="1071"/>
      <c r="F87" s="1062"/>
      <c r="G87" s="1063"/>
      <c r="H87" s="1069"/>
      <c r="I87" s="1754"/>
      <c r="J87" s="1755"/>
      <c r="K87" s="1062"/>
      <c r="L87" s="1070">
        <f t="shared" si="2"/>
        <v>0</v>
      </c>
      <c r="M87" s="1102"/>
      <c r="N87" s="1068"/>
      <c r="O87" s="1067">
        <f t="shared" si="3"/>
        <v>0</v>
      </c>
      <c r="P87" s="1102"/>
    </row>
    <row r="88" spans="1:16" ht="15" hidden="1" x14ac:dyDescent="0.25">
      <c r="A88" s="1101">
        <v>25</v>
      </c>
      <c r="B88" s="1063"/>
      <c r="C88" s="1063"/>
      <c r="D88" s="1063"/>
      <c r="E88" s="1071"/>
      <c r="F88" s="1062"/>
      <c r="G88" s="1063"/>
      <c r="H88" s="1069"/>
      <c r="I88" s="1754"/>
      <c r="J88" s="1755"/>
      <c r="K88" s="1062"/>
      <c r="L88" s="1070">
        <f t="shared" si="2"/>
        <v>0</v>
      </c>
      <c r="M88" s="1102"/>
      <c r="N88" s="1068"/>
      <c r="O88" s="1067">
        <f t="shared" si="3"/>
        <v>0</v>
      </c>
      <c r="P88" s="1102"/>
    </row>
    <row r="89" spans="1:16" ht="15" hidden="1" x14ac:dyDescent="0.25">
      <c r="A89" s="1101">
        <v>26</v>
      </c>
      <c r="B89" s="1063"/>
      <c r="C89" s="1063"/>
      <c r="D89" s="1063"/>
      <c r="E89" s="1071"/>
      <c r="F89" s="1062"/>
      <c r="G89" s="1063"/>
      <c r="H89" s="1069"/>
      <c r="I89" s="1754"/>
      <c r="J89" s="1755"/>
      <c r="K89" s="1062"/>
      <c r="L89" s="1070">
        <f t="shared" si="2"/>
        <v>0</v>
      </c>
      <c r="M89" s="1102"/>
      <c r="N89" s="1068"/>
      <c r="O89" s="1067">
        <f t="shared" si="3"/>
        <v>0</v>
      </c>
      <c r="P89" s="1102"/>
    </row>
    <row r="90" spans="1:16" ht="15" hidden="1" x14ac:dyDescent="0.25">
      <c r="A90" s="1101">
        <v>27</v>
      </c>
      <c r="B90" s="1063"/>
      <c r="C90" s="1063"/>
      <c r="D90" s="1063"/>
      <c r="E90" s="1071"/>
      <c r="F90" s="1062"/>
      <c r="G90" s="1063"/>
      <c r="H90" s="1069"/>
      <c r="I90" s="1754"/>
      <c r="J90" s="1755"/>
      <c r="K90" s="1062"/>
      <c r="L90" s="1070">
        <f t="shared" si="2"/>
        <v>0</v>
      </c>
      <c r="M90" s="1102"/>
      <c r="N90" s="1068"/>
      <c r="O90" s="1067">
        <f t="shared" si="3"/>
        <v>0</v>
      </c>
      <c r="P90" s="1102"/>
    </row>
    <row r="91" spans="1:16" ht="15" hidden="1" x14ac:dyDescent="0.25">
      <c r="A91" s="1101">
        <v>28</v>
      </c>
      <c r="B91" s="1063"/>
      <c r="C91" s="1063"/>
      <c r="D91" s="1063"/>
      <c r="E91" s="1071"/>
      <c r="F91" s="1062"/>
      <c r="G91" s="1063"/>
      <c r="H91" s="1069"/>
      <c r="I91" s="1754"/>
      <c r="J91" s="1755"/>
      <c r="K91" s="1062"/>
      <c r="L91" s="1070">
        <f t="shared" si="2"/>
        <v>0</v>
      </c>
      <c r="M91" s="1102"/>
      <c r="N91" s="1068"/>
      <c r="O91" s="1067">
        <f t="shared" si="3"/>
        <v>0</v>
      </c>
      <c r="P91" s="1102"/>
    </row>
    <row r="92" spans="1:16" ht="15" hidden="1" x14ac:dyDescent="0.25">
      <c r="A92" s="1101">
        <v>29</v>
      </c>
      <c r="B92" s="1063"/>
      <c r="C92" s="1063"/>
      <c r="D92" s="1063"/>
      <c r="E92" s="1071"/>
      <c r="F92" s="1062"/>
      <c r="G92" s="1063"/>
      <c r="H92" s="1069"/>
      <c r="I92" s="1754"/>
      <c r="J92" s="1755"/>
      <c r="K92" s="1062"/>
      <c r="L92" s="1070">
        <f t="shared" si="2"/>
        <v>0</v>
      </c>
      <c r="M92" s="1102"/>
      <c r="N92" s="1068"/>
      <c r="O92" s="1067">
        <f t="shared" si="3"/>
        <v>0</v>
      </c>
      <c r="P92" s="1102"/>
    </row>
    <row r="93" spans="1:16" ht="15" hidden="1" x14ac:dyDescent="0.25">
      <c r="A93" s="1101">
        <v>30</v>
      </c>
      <c r="B93" s="1063"/>
      <c r="C93" s="1063"/>
      <c r="D93" s="1063"/>
      <c r="E93" s="1071"/>
      <c r="F93" s="1062"/>
      <c r="G93" s="1063"/>
      <c r="H93" s="1069"/>
      <c r="I93" s="1754"/>
      <c r="J93" s="1755"/>
      <c r="K93" s="1062"/>
      <c r="L93" s="1070">
        <f t="shared" si="2"/>
        <v>0</v>
      </c>
      <c r="M93" s="1102"/>
      <c r="N93" s="1068"/>
      <c r="O93" s="1067">
        <f t="shared" si="3"/>
        <v>0</v>
      </c>
      <c r="P93" s="1102"/>
    </row>
    <row r="94" spans="1:16" ht="15" hidden="1" x14ac:dyDescent="0.25">
      <c r="A94" s="1101">
        <v>31</v>
      </c>
      <c r="B94" s="1063"/>
      <c r="C94" s="1063"/>
      <c r="D94" s="1063"/>
      <c r="E94" s="1071"/>
      <c r="F94" s="1062"/>
      <c r="G94" s="1063"/>
      <c r="H94" s="1069"/>
      <c r="I94" s="1754"/>
      <c r="J94" s="1755"/>
      <c r="K94" s="1062"/>
      <c r="L94" s="1070">
        <f t="shared" si="2"/>
        <v>0</v>
      </c>
      <c r="M94" s="1102"/>
      <c r="N94" s="1068"/>
      <c r="O94" s="1067">
        <f t="shared" si="3"/>
        <v>0</v>
      </c>
      <c r="P94" s="1102"/>
    </row>
    <row r="95" spans="1:16" ht="15" hidden="1" x14ac:dyDescent="0.25">
      <c r="A95" s="1101">
        <v>32</v>
      </c>
      <c r="B95" s="1063"/>
      <c r="C95" s="1063"/>
      <c r="D95" s="1063"/>
      <c r="E95" s="1071"/>
      <c r="F95" s="1062"/>
      <c r="G95" s="1063"/>
      <c r="H95" s="1069"/>
      <c r="I95" s="1754"/>
      <c r="J95" s="1755"/>
      <c r="K95" s="1062"/>
      <c r="L95" s="1070">
        <f t="shared" si="2"/>
        <v>0</v>
      </c>
      <c r="M95" s="1102"/>
      <c r="N95" s="1068"/>
      <c r="O95" s="1067">
        <f t="shared" si="3"/>
        <v>0</v>
      </c>
      <c r="P95" s="1102"/>
    </row>
    <row r="96" spans="1:16" ht="15" hidden="1" x14ac:dyDescent="0.25">
      <c r="A96" s="1101">
        <v>33</v>
      </c>
      <c r="B96" s="1063"/>
      <c r="C96" s="1063"/>
      <c r="D96" s="1063"/>
      <c r="E96" s="1071"/>
      <c r="F96" s="1062"/>
      <c r="G96" s="1063"/>
      <c r="H96" s="1069"/>
      <c r="I96" s="1754"/>
      <c r="J96" s="1755"/>
      <c r="K96" s="1062"/>
      <c r="L96" s="1070">
        <f t="shared" si="2"/>
        <v>0</v>
      </c>
      <c r="M96" s="1102"/>
      <c r="N96" s="1068"/>
      <c r="O96" s="1067">
        <f t="shared" si="3"/>
        <v>0</v>
      </c>
      <c r="P96" s="1102"/>
    </row>
    <row r="97" spans="1:16" ht="15" hidden="1" x14ac:dyDescent="0.25">
      <c r="A97" s="1101">
        <v>34</v>
      </c>
      <c r="B97" s="1063"/>
      <c r="C97" s="1063"/>
      <c r="D97" s="1063"/>
      <c r="E97" s="1071"/>
      <c r="F97" s="1062"/>
      <c r="G97" s="1063"/>
      <c r="H97" s="1069"/>
      <c r="I97" s="1754"/>
      <c r="J97" s="1755"/>
      <c r="K97" s="1062"/>
      <c r="L97" s="1070">
        <f t="shared" si="2"/>
        <v>0</v>
      </c>
      <c r="M97" s="1102"/>
      <c r="N97" s="1068"/>
      <c r="O97" s="1067">
        <f t="shared" si="3"/>
        <v>0</v>
      </c>
      <c r="P97" s="1102"/>
    </row>
    <row r="98" spans="1:16" ht="15" hidden="1" x14ac:dyDescent="0.25">
      <c r="A98" s="1101">
        <v>35</v>
      </c>
      <c r="B98" s="1063"/>
      <c r="C98" s="1063"/>
      <c r="D98" s="1063"/>
      <c r="E98" s="1071"/>
      <c r="F98" s="1062"/>
      <c r="G98" s="1063"/>
      <c r="H98" s="1069"/>
      <c r="I98" s="1754"/>
      <c r="J98" s="1755"/>
      <c r="K98" s="1062"/>
      <c r="L98" s="1070">
        <f t="shared" si="2"/>
        <v>0</v>
      </c>
      <c r="M98" s="1102"/>
      <c r="N98" s="1068"/>
      <c r="O98" s="1067">
        <f t="shared" si="3"/>
        <v>0</v>
      </c>
      <c r="P98" s="1102"/>
    </row>
    <row r="99" spans="1:16" ht="15" hidden="1" x14ac:dyDescent="0.25">
      <c r="A99" s="1101">
        <v>36</v>
      </c>
      <c r="B99" s="1063"/>
      <c r="C99" s="1063"/>
      <c r="D99" s="1063"/>
      <c r="E99" s="1071"/>
      <c r="F99" s="1062"/>
      <c r="G99" s="1063"/>
      <c r="H99" s="1069"/>
      <c r="I99" s="1754"/>
      <c r="J99" s="1755"/>
      <c r="K99" s="1062"/>
      <c r="L99" s="1070">
        <f t="shared" si="2"/>
        <v>0</v>
      </c>
      <c r="M99" s="1102"/>
      <c r="N99" s="1068"/>
      <c r="O99" s="1067">
        <f t="shared" si="3"/>
        <v>0</v>
      </c>
      <c r="P99" s="1102"/>
    </row>
    <row r="100" spans="1:16" ht="15" hidden="1" x14ac:dyDescent="0.25">
      <c r="A100" s="1101">
        <v>37</v>
      </c>
      <c r="B100" s="1063"/>
      <c r="C100" s="1063"/>
      <c r="D100" s="1063"/>
      <c r="E100" s="1071"/>
      <c r="F100" s="1062"/>
      <c r="G100" s="1063"/>
      <c r="H100" s="1069"/>
      <c r="I100" s="1754"/>
      <c r="J100" s="1755"/>
      <c r="K100" s="1062"/>
      <c r="L100" s="1070">
        <f t="shared" si="2"/>
        <v>0</v>
      </c>
      <c r="M100" s="1102"/>
      <c r="N100" s="1068"/>
      <c r="O100" s="1067">
        <f t="shared" si="3"/>
        <v>0</v>
      </c>
      <c r="P100" s="1102"/>
    </row>
    <row r="101" spans="1:16" ht="15" hidden="1" x14ac:dyDescent="0.25">
      <c r="A101" s="1101">
        <v>38</v>
      </c>
      <c r="B101" s="1063"/>
      <c r="C101" s="1063"/>
      <c r="D101" s="1063"/>
      <c r="E101" s="1071"/>
      <c r="F101" s="1062"/>
      <c r="G101" s="1063"/>
      <c r="H101" s="1069"/>
      <c r="I101" s="1754"/>
      <c r="J101" s="1755"/>
      <c r="K101" s="1062"/>
      <c r="L101" s="1070">
        <f t="shared" si="2"/>
        <v>0</v>
      </c>
      <c r="M101" s="1102"/>
      <c r="N101" s="1068"/>
      <c r="O101" s="1067">
        <f t="shared" si="3"/>
        <v>0</v>
      </c>
      <c r="P101" s="1102"/>
    </row>
    <row r="102" spans="1:16" ht="15" hidden="1" x14ac:dyDescent="0.25">
      <c r="A102" s="1101">
        <v>39</v>
      </c>
      <c r="B102" s="1063"/>
      <c r="C102" s="1063"/>
      <c r="D102" s="1063"/>
      <c r="E102" s="1071"/>
      <c r="F102" s="1062"/>
      <c r="G102" s="1063"/>
      <c r="H102" s="1069"/>
      <c r="I102" s="1754"/>
      <c r="J102" s="1755"/>
      <c r="K102" s="1062"/>
      <c r="L102" s="1070">
        <f t="shared" si="2"/>
        <v>0</v>
      </c>
      <c r="M102" s="1102"/>
      <c r="N102" s="1068"/>
      <c r="O102" s="1067">
        <f t="shared" si="3"/>
        <v>0</v>
      </c>
      <c r="P102" s="1102"/>
    </row>
    <row r="103" spans="1:16" ht="15" hidden="1" x14ac:dyDescent="0.25">
      <c r="A103" s="1101">
        <v>40</v>
      </c>
      <c r="B103" s="1063"/>
      <c r="C103" s="1063"/>
      <c r="D103" s="1063"/>
      <c r="E103" s="1071"/>
      <c r="F103" s="1062"/>
      <c r="G103" s="1063"/>
      <c r="H103" s="1069"/>
      <c r="I103" s="1754"/>
      <c r="J103" s="1755"/>
      <c r="K103" s="1062"/>
      <c r="L103" s="1070">
        <f t="shared" si="2"/>
        <v>0</v>
      </c>
      <c r="M103" s="1102"/>
      <c r="N103" s="1068"/>
      <c r="O103" s="1067">
        <f t="shared" si="3"/>
        <v>0</v>
      </c>
      <c r="P103" s="1102"/>
    </row>
    <row r="104" spans="1:16" ht="15" hidden="1" x14ac:dyDescent="0.25">
      <c r="A104" s="1101">
        <v>41</v>
      </c>
      <c r="B104" s="1063"/>
      <c r="C104" s="1063"/>
      <c r="D104" s="1063"/>
      <c r="E104" s="1071"/>
      <c r="F104" s="1062"/>
      <c r="G104" s="1063"/>
      <c r="H104" s="1069"/>
      <c r="I104" s="1754"/>
      <c r="J104" s="1755"/>
      <c r="K104" s="1062"/>
      <c r="L104" s="1070">
        <f t="shared" si="2"/>
        <v>0</v>
      </c>
      <c r="M104" s="1102"/>
      <c r="N104" s="1068"/>
      <c r="O104" s="1067">
        <f t="shared" si="3"/>
        <v>0</v>
      </c>
      <c r="P104" s="1102"/>
    </row>
    <row r="105" spans="1:16" ht="15" hidden="1" x14ac:dyDescent="0.25">
      <c r="A105" s="1101">
        <v>42</v>
      </c>
      <c r="B105" s="1063"/>
      <c r="C105" s="1063"/>
      <c r="D105" s="1063"/>
      <c r="E105" s="1071"/>
      <c r="F105" s="1062"/>
      <c r="G105" s="1063"/>
      <c r="H105" s="1069"/>
      <c r="I105" s="1754"/>
      <c r="J105" s="1755"/>
      <c r="K105" s="1062"/>
      <c r="L105" s="1070">
        <f t="shared" si="2"/>
        <v>0</v>
      </c>
      <c r="M105" s="1102"/>
      <c r="N105" s="1068"/>
      <c r="O105" s="1067">
        <f t="shared" si="3"/>
        <v>0</v>
      </c>
      <c r="P105" s="1102"/>
    </row>
    <row r="106" spans="1:16" ht="15" hidden="1" x14ac:dyDescent="0.25">
      <c r="A106" s="1101">
        <v>43</v>
      </c>
      <c r="B106" s="1063"/>
      <c r="C106" s="1063"/>
      <c r="D106" s="1063"/>
      <c r="E106" s="1071"/>
      <c r="F106" s="1062"/>
      <c r="G106" s="1063"/>
      <c r="H106" s="1069"/>
      <c r="I106" s="1754"/>
      <c r="J106" s="1755"/>
      <c r="K106" s="1062"/>
      <c r="L106" s="1070">
        <f t="shared" si="2"/>
        <v>0</v>
      </c>
      <c r="M106" s="1102"/>
      <c r="N106" s="1068"/>
      <c r="O106" s="1067">
        <f t="shared" si="3"/>
        <v>0</v>
      </c>
      <c r="P106" s="1102"/>
    </row>
    <row r="107" spans="1:16" ht="15" hidden="1" x14ac:dyDescent="0.25">
      <c r="A107" s="1101">
        <v>44</v>
      </c>
      <c r="B107" s="1063"/>
      <c r="C107" s="1063"/>
      <c r="D107" s="1063"/>
      <c r="E107" s="1071"/>
      <c r="F107" s="1062"/>
      <c r="G107" s="1063"/>
      <c r="H107" s="1069"/>
      <c r="I107" s="1754"/>
      <c r="J107" s="1755"/>
      <c r="K107" s="1062"/>
      <c r="L107" s="1070">
        <f t="shared" si="2"/>
        <v>0</v>
      </c>
      <c r="M107" s="1102"/>
      <c r="N107" s="1068"/>
      <c r="O107" s="1067">
        <f t="shared" si="3"/>
        <v>0</v>
      </c>
      <c r="P107" s="1102"/>
    </row>
    <row r="108" spans="1:16" ht="15" hidden="1" x14ac:dyDescent="0.25">
      <c r="A108" s="1101">
        <v>45</v>
      </c>
      <c r="B108" s="1063"/>
      <c r="C108" s="1063"/>
      <c r="D108" s="1063"/>
      <c r="E108" s="1071"/>
      <c r="F108" s="1062"/>
      <c r="G108" s="1063"/>
      <c r="H108" s="1069"/>
      <c r="I108" s="1754"/>
      <c r="J108" s="1755"/>
      <c r="K108" s="1062"/>
      <c r="L108" s="1070">
        <f t="shared" si="2"/>
        <v>0</v>
      </c>
      <c r="M108" s="1102"/>
      <c r="N108" s="1068"/>
      <c r="O108" s="1067">
        <f t="shared" si="3"/>
        <v>0</v>
      </c>
      <c r="P108" s="1102"/>
    </row>
    <row r="109" spans="1:16" ht="15" hidden="1" x14ac:dyDescent="0.25">
      <c r="A109" s="1101">
        <v>46</v>
      </c>
      <c r="B109" s="1063"/>
      <c r="C109" s="1063"/>
      <c r="D109" s="1063"/>
      <c r="E109" s="1071"/>
      <c r="F109" s="1062"/>
      <c r="G109" s="1063"/>
      <c r="H109" s="1069"/>
      <c r="I109" s="1754"/>
      <c r="J109" s="1755"/>
      <c r="K109" s="1062"/>
      <c r="L109" s="1070">
        <f t="shared" si="2"/>
        <v>0</v>
      </c>
      <c r="M109" s="1102"/>
      <c r="N109" s="1068"/>
      <c r="O109" s="1067">
        <f t="shared" si="3"/>
        <v>0</v>
      </c>
      <c r="P109" s="1102"/>
    </row>
    <row r="110" spans="1:16" ht="15" hidden="1" x14ac:dyDescent="0.25">
      <c r="A110" s="1101">
        <v>47</v>
      </c>
      <c r="B110" s="1063"/>
      <c r="C110" s="1063"/>
      <c r="D110" s="1063"/>
      <c r="E110" s="1071"/>
      <c r="F110" s="1062"/>
      <c r="G110" s="1063"/>
      <c r="H110" s="1069"/>
      <c r="I110" s="1754"/>
      <c r="J110" s="1755"/>
      <c r="K110" s="1062"/>
      <c r="L110" s="1070">
        <f t="shared" si="2"/>
        <v>0</v>
      </c>
      <c r="M110" s="1102"/>
      <c r="N110" s="1068"/>
      <c r="O110" s="1067">
        <f t="shared" si="3"/>
        <v>0</v>
      </c>
      <c r="P110" s="1102"/>
    </row>
    <row r="111" spans="1:16" ht="15" hidden="1" x14ac:dyDescent="0.25">
      <c r="A111" s="1101">
        <v>48</v>
      </c>
      <c r="B111" s="1063"/>
      <c r="C111" s="1063"/>
      <c r="D111" s="1063"/>
      <c r="E111" s="1071"/>
      <c r="F111" s="1062"/>
      <c r="G111" s="1063"/>
      <c r="H111" s="1069"/>
      <c r="I111" s="1754"/>
      <c r="J111" s="1755"/>
      <c r="K111" s="1062"/>
      <c r="L111" s="1070">
        <f t="shared" si="2"/>
        <v>0</v>
      </c>
      <c r="M111" s="1102"/>
      <c r="N111" s="1068"/>
      <c r="O111" s="1067">
        <f t="shared" si="3"/>
        <v>0</v>
      </c>
      <c r="P111" s="1102"/>
    </row>
    <row r="112" spans="1:16" ht="15" hidden="1" x14ac:dyDescent="0.25">
      <c r="A112" s="1101">
        <v>49</v>
      </c>
      <c r="B112" s="1063"/>
      <c r="C112" s="1063"/>
      <c r="D112" s="1063"/>
      <c r="E112" s="1071"/>
      <c r="F112" s="1062"/>
      <c r="G112" s="1063"/>
      <c r="H112" s="1069"/>
      <c r="I112" s="1754"/>
      <c r="J112" s="1755"/>
      <c r="K112" s="1062"/>
      <c r="L112" s="1070">
        <f t="shared" si="2"/>
        <v>0</v>
      </c>
      <c r="M112" s="1102"/>
      <c r="N112" s="1068"/>
      <c r="O112" s="1067">
        <f t="shared" si="3"/>
        <v>0</v>
      </c>
      <c r="P112" s="1102"/>
    </row>
    <row r="113" spans="1:16" ht="15" hidden="1" x14ac:dyDescent="0.25">
      <c r="A113" s="1101">
        <v>50</v>
      </c>
      <c r="B113" s="1063"/>
      <c r="C113" s="1063"/>
      <c r="D113" s="1063"/>
      <c r="E113" s="1071"/>
      <c r="F113" s="1062"/>
      <c r="G113" s="1063"/>
      <c r="H113" s="1069"/>
      <c r="I113" s="1754"/>
      <c r="J113" s="1755"/>
      <c r="K113" s="1062"/>
      <c r="L113" s="1070">
        <f t="shared" si="2"/>
        <v>0</v>
      </c>
      <c r="M113" s="1102"/>
      <c r="N113" s="1068"/>
      <c r="O113" s="1067">
        <f t="shared" si="3"/>
        <v>0</v>
      </c>
      <c r="P113" s="1102"/>
    </row>
    <row r="114" spans="1:16" ht="17.25" customHeight="1" thickBot="1" x14ac:dyDescent="0.25">
      <c r="A114" s="1061"/>
      <c r="B114" s="1066" t="s">
        <v>60</v>
      </c>
      <c r="C114" s="1066"/>
      <c r="D114" s="1066"/>
      <c r="E114" s="1066"/>
      <c r="F114" s="1065">
        <f>SUM(F64:F113)</f>
        <v>0</v>
      </c>
      <c r="G114" s="1066"/>
      <c r="H114" s="1066"/>
      <c r="I114" s="1756"/>
      <c r="J114" s="1757"/>
      <c r="K114" s="1065">
        <f>SUM(K64:K113)</f>
        <v>0</v>
      </c>
      <c r="L114" s="1065">
        <f>SUM(L64:L113)</f>
        <v>0</v>
      </c>
      <c r="M114" s="1061"/>
      <c r="N114" s="1065">
        <f>SUM(N64:N113)</f>
        <v>0</v>
      </c>
      <c r="O114" s="1065">
        <f>SUM(O64:O113)</f>
        <v>0</v>
      </c>
      <c r="P114" s="1061"/>
    </row>
    <row r="116" spans="1:16" ht="14.25" x14ac:dyDescent="0.2">
      <c r="F116" s="946" t="str">
        <f>IF(AND(ROUND(F114,0)=ROUND('PR Cash Reconciliation_2A,B,C,D'!D43,0)),"OK","WARNING -Financial Obligations not matching")</f>
        <v>OK</v>
      </c>
      <c r="L116" s="1103" t="str">
        <f>IF(AND(ROUND(L114,0)=ROUND('PR Cash Reconciliation_2A,B,C,D'!H43,0)),"OK","WARNING -Financial Obligations not matching")</f>
        <v>OK</v>
      </c>
    </row>
  </sheetData>
  <sheetProtection algorithmName="SHA-512" hashValue="mMhyPxvRrDGWRBVFcnVoJLqEyUWTdRo4WPV/+ln2UR/R0Vj26nVcfvgG8Z9BfzzieltauWFiOi2t9HVLENjW2Q==" saltValue="At0DjfgAk0WPEtws9LG8uA==" spinCount="100000" sheet="1" objects="1" scenarios="1" formatCells="0" formatColumns="0" formatRows="0"/>
  <mergeCells count="58">
    <mergeCell ref="I68:J68"/>
    <mergeCell ref="B4:J4"/>
    <mergeCell ref="N4:P4"/>
    <mergeCell ref="K4:M4"/>
    <mergeCell ref="B62:J62"/>
    <mergeCell ref="K62:M62"/>
    <mergeCell ref="N62:P62"/>
    <mergeCell ref="I63:J63"/>
    <mergeCell ref="I64:J64"/>
    <mergeCell ref="I65:J65"/>
    <mergeCell ref="I66:J66"/>
    <mergeCell ref="I67:J67"/>
    <mergeCell ref="I80:J80"/>
    <mergeCell ref="I69:J69"/>
    <mergeCell ref="I70:J70"/>
    <mergeCell ref="I71:J71"/>
    <mergeCell ref="I72:J72"/>
    <mergeCell ref="I73:J73"/>
    <mergeCell ref="I74:J74"/>
    <mergeCell ref="I75:J75"/>
    <mergeCell ref="I76:J76"/>
    <mergeCell ref="I77:J77"/>
    <mergeCell ref="I78:J78"/>
    <mergeCell ref="I79:J79"/>
    <mergeCell ref="I92:J92"/>
    <mergeCell ref="I81:J81"/>
    <mergeCell ref="I82:J82"/>
    <mergeCell ref="I83:J83"/>
    <mergeCell ref="I84:J84"/>
    <mergeCell ref="I85:J85"/>
    <mergeCell ref="I86:J86"/>
    <mergeCell ref="I87:J87"/>
    <mergeCell ref="I88:J88"/>
    <mergeCell ref="I89:J89"/>
    <mergeCell ref="I90:J90"/>
    <mergeCell ref="I91:J91"/>
    <mergeCell ref="I104:J104"/>
    <mergeCell ref="I93:J93"/>
    <mergeCell ref="I94:J94"/>
    <mergeCell ref="I95:J95"/>
    <mergeCell ref="I96:J96"/>
    <mergeCell ref="I97:J97"/>
    <mergeCell ref="I98:J98"/>
    <mergeCell ref="I99:J99"/>
    <mergeCell ref="I100:J100"/>
    <mergeCell ref="I101:J101"/>
    <mergeCell ref="I102:J102"/>
    <mergeCell ref="I103:J103"/>
    <mergeCell ref="I111:J111"/>
    <mergeCell ref="I112:J112"/>
    <mergeCell ref="I113:J113"/>
    <mergeCell ref="I114:J114"/>
    <mergeCell ref="I105:J105"/>
    <mergeCell ref="I106:J106"/>
    <mergeCell ref="I107:J107"/>
    <mergeCell ref="I108:J108"/>
    <mergeCell ref="I109:J109"/>
    <mergeCell ref="I110:J110"/>
  </mergeCells>
  <conditionalFormatting sqref="L116">
    <cfRule type="expression" dxfId="3" priority="4">
      <formula>L116="WARNING -Financial Obligations not matching"</formula>
    </cfRule>
  </conditionalFormatting>
  <conditionalFormatting sqref="F116">
    <cfRule type="expression" dxfId="2" priority="3">
      <formula>F116="WARNING -Financial Obligations not matching"</formula>
    </cfRule>
  </conditionalFormatting>
  <conditionalFormatting sqref="L58">
    <cfRule type="expression" dxfId="1" priority="2">
      <formula>L58="WARNING -Financial Commitments not matching"</formula>
    </cfRule>
  </conditionalFormatting>
  <conditionalFormatting sqref="F58">
    <cfRule type="expression" dxfId="0" priority="1">
      <formula>F58="WARNING -Financial Commitments not matching"</formula>
    </cfRule>
  </conditionalFormatting>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tabColor theme="0" tint="-0.249977111117893"/>
  </sheetPr>
  <dimension ref="A1:S39"/>
  <sheetViews>
    <sheetView view="pageBreakPreview" topLeftCell="A7" zoomScale="70" zoomScaleNormal="100" zoomScaleSheetLayoutView="70" workbookViewId="0">
      <selection activeCell="F14" sqref="F14:J14"/>
    </sheetView>
  </sheetViews>
  <sheetFormatPr defaultRowHeight="12.75" x14ac:dyDescent="0.2"/>
  <cols>
    <col min="5" max="5" width="18.42578125" customWidth="1"/>
    <col min="7" max="7" width="10.85546875" customWidth="1"/>
    <col min="8" max="8" width="23" customWidth="1"/>
    <col min="9" max="9" width="14.85546875" customWidth="1"/>
    <col min="10" max="10" width="27.85546875" customWidth="1"/>
    <col min="15" max="15" width="57.85546875" customWidth="1"/>
  </cols>
  <sheetData>
    <row r="1" spans="1:19" ht="54.75" customHeight="1" thickBot="1" x14ac:dyDescent="0.25">
      <c r="A1" s="1771" t="str">
        <f>IF(CoverSheet!J12="N/A","Progress Report","Progress Report with Disbursement Request")</f>
        <v>Progress Report with Disbursement Request</v>
      </c>
      <c r="B1" s="1771"/>
      <c r="C1" s="1771"/>
      <c r="D1" s="1771"/>
      <c r="E1" s="1771"/>
      <c r="F1" s="1771"/>
      <c r="G1" s="1771"/>
      <c r="H1" s="1771"/>
      <c r="I1" s="1771"/>
      <c r="J1" s="1771"/>
      <c r="K1" s="1771"/>
      <c r="L1" s="1771"/>
      <c r="M1" s="1771"/>
      <c r="N1" s="1771"/>
      <c r="O1" s="1771"/>
    </row>
    <row r="2" spans="1:19" ht="30.75" customHeight="1" x14ac:dyDescent="0.25">
      <c r="A2" s="142" t="s">
        <v>271</v>
      </c>
      <c r="B2" s="143"/>
      <c r="C2" s="143"/>
      <c r="D2" s="143"/>
      <c r="E2" s="143"/>
      <c r="F2" s="143"/>
      <c r="G2" s="143"/>
      <c r="H2" s="143"/>
      <c r="I2" s="143"/>
      <c r="J2" s="143"/>
      <c r="K2" s="143"/>
      <c r="L2" s="143"/>
      <c r="M2" s="143"/>
      <c r="N2" s="143"/>
      <c r="O2" s="143"/>
      <c r="P2" s="143"/>
      <c r="Q2" s="143"/>
      <c r="R2" s="143"/>
    </row>
    <row r="3" spans="1:19" ht="15" customHeight="1" x14ac:dyDescent="0.25">
      <c r="A3" s="91"/>
      <c r="B3" s="338"/>
      <c r="C3" s="338"/>
      <c r="D3" s="338"/>
      <c r="E3" s="338"/>
      <c r="F3" s="338"/>
      <c r="G3" s="338"/>
      <c r="H3" s="338"/>
      <c r="I3" s="338"/>
      <c r="J3" s="338"/>
      <c r="K3" s="338"/>
      <c r="L3" s="338"/>
      <c r="M3" s="338"/>
      <c r="N3" s="338"/>
      <c r="O3" s="338"/>
      <c r="P3" s="143"/>
      <c r="Q3" s="143"/>
      <c r="R3" s="143"/>
    </row>
    <row r="4" spans="1:19" s="339" customFormat="1" ht="1.5" customHeight="1" x14ac:dyDescent="0.2">
      <c r="A4" s="334"/>
      <c r="B4" s="122"/>
      <c r="C4" s="122"/>
      <c r="D4" s="122"/>
      <c r="E4" s="122"/>
      <c r="F4" s="122"/>
      <c r="G4" s="122"/>
      <c r="H4" s="122"/>
      <c r="I4" s="122"/>
      <c r="J4" s="122"/>
      <c r="K4" s="122"/>
      <c r="L4" s="122"/>
      <c r="M4" s="122"/>
      <c r="N4" s="122"/>
      <c r="O4" s="122"/>
    </row>
    <row r="5" spans="1:19" s="1" customFormat="1" ht="14.25" x14ac:dyDescent="0.2">
      <c r="A5" s="1772" t="s">
        <v>147</v>
      </c>
      <c r="B5" s="1772"/>
      <c r="C5" s="1772"/>
      <c r="D5" s="1772"/>
      <c r="E5" s="1772"/>
      <c r="F5" s="1773" t="str">
        <f>CoverSheet!D7</f>
        <v>ROU-T-RAA</v>
      </c>
      <c r="G5" s="1774"/>
      <c r="H5" s="1774"/>
      <c r="I5" s="1774"/>
      <c r="J5" s="1775"/>
      <c r="K5" s="35"/>
      <c r="L5" s="35"/>
      <c r="M5" s="35"/>
      <c r="N5" s="35"/>
      <c r="O5" s="35"/>
    </row>
    <row r="6" spans="1:19" s="1" customFormat="1" ht="14.25" x14ac:dyDescent="0.2">
      <c r="A6" s="335" t="s">
        <v>243</v>
      </c>
      <c r="B6" s="336"/>
      <c r="C6" s="336"/>
      <c r="D6" s="336"/>
      <c r="E6" s="337"/>
      <c r="F6" s="331" t="s">
        <v>39</v>
      </c>
      <c r="G6" s="331"/>
      <c r="H6" s="958">
        <f>CoverSheet!J6</f>
        <v>42736</v>
      </c>
      <c r="I6" s="330" t="s">
        <v>47</v>
      </c>
      <c r="J6" s="957">
        <f>CoverSheet!L6</f>
        <v>43100</v>
      </c>
      <c r="K6" s="35"/>
      <c r="L6" s="35"/>
      <c r="M6" s="35"/>
      <c r="N6" s="35"/>
      <c r="O6" s="35"/>
    </row>
    <row r="7" spans="1:19" s="1" customFormat="1" ht="14.25" x14ac:dyDescent="0.2">
      <c r="A7" s="335" t="str">
        <f>CoverSheet!F12</f>
        <v>Disbursement Request Execution Period</v>
      </c>
      <c r="B7" s="336"/>
      <c r="C7" s="336"/>
      <c r="D7" s="336"/>
      <c r="E7" s="337"/>
      <c r="F7" s="331" t="s">
        <v>39</v>
      </c>
      <c r="G7" s="331"/>
      <c r="H7" s="958">
        <f>CoverSheet!J12</f>
        <v>43101</v>
      </c>
      <c r="I7" s="330" t="s">
        <v>47</v>
      </c>
      <c r="J7" s="957">
        <f>CoverSheet!L12</f>
        <v>43190</v>
      </c>
      <c r="K7" s="35"/>
      <c r="L7" s="35"/>
      <c r="M7" s="35"/>
      <c r="N7" s="35"/>
      <c r="O7" s="35"/>
    </row>
    <row r="8" spans="1:19" s="1" customFormat="1" ht="14.25" x14ac:dyDescent="0.2">
      <c r="A8" s="335" t="str">
        <f>CoverSheet!F13</f>
        <v>Disbursement Request Buffer Period</v>
      </c>
      <c r="B8" s="336"/>
      <c r="C8" s="336"/>
      <c r="D8" s="336"/>
      <c r="E8" s="337"/>
      <c r="F8" s="331" t="s">
        <v>39</v>
      </c>
      <c r="G8" s="331"/>
      <c r="H8" s="959" t="str">
        <f>CoverSheet!J13</f>
        <v>N/A</v>
      </c>
      <c r="I8" s="330" t="s">
        <v>47</v>
      </c>
      <c r="J8" s="958" t="str">
        <f>CoverSheet!L13</f>
        <v>N/A</v>
      </c>
      <c r="K8" s="35"/>
      <c r="L8" s="35"/>
      <c r="M8" s="35"/>
      <c r="N8" s="35"/>
      <c r="O8" s="35"/>
    </row>
    <row r="9" spans="1:19" s="1" customFormat="1" ht="15.75" customHeight="1" x14ac:dyDescent="0.2">
      <c r="A9" s="1779" t="s">
        <v>38</v>
      </c>
      <c r="B9" s="1780"/>
      <c r="C9" s="1780"/>
      <c r="D9" s="1780"/>
      <c r="E9" s="1781"/>
      <c r="F9" s="1776" t="str">
        <f>CoverSheet!D11</f>
        <v>EUR</v>
      </c>
      <c r="G9" s="1777"/>
      <c r="H9" s="1777"/>
      <c r="I9" s="1777"/>
      <c r="J9" s="1778"/>
      <c r="K9" s="38"/>
      <c r="L9" s="38"/>
      <c r="M9" s="38"/>
      <c r="N9" s="38"/>
      <c r="O9" s="38"/>
    </row>
    <row r="10" spans="1:19" s="1" customFormat="1" ht="15.75" customHeight="1" x14ac:dyDescent="0.2">
      <c r="A10" s="1787" t="s">
        <v>238</v>
      </c>
      <c r="B10" s="1780"/>
      <c r="C10" s="1780"/>
      <c r="D10" s="1780"/>
      <c r="E10" s="1781"/>
      <c r="F10" s="1784">
        <f>IF(CoverSheet!J12="N/A","",'Request and Recommendation_8B'!K19)</f>
        <v>209315.54000000027</v>
      </c>
      <c r="G10" s="1785"/>
      <c r="H10" s="1785"/>
      <c r="I10" s="1785"/>
      <c r="J10" s="1786"/>
      <c r="K10" s="341"/>
      <c r="L10" s="38"/>
      <c r="M10" s="38"/>
      <c r="N10" s="38"/>
      <c r="O10" s="38"/>
    </row>
    <row r="11" spans="1:19" s="1" customFormat="1" ht="15.75" customHeight="1" x14ac:dyDescent="0.2">
      <c r="A11" s="340"/>
      <c r="B11" s="38"/>
      <c r="C11" s="340"/>
      <c r="D11" s="38"/>
      <c r="E11" s="38"/>
      <c r="F11" s="38"/>
      <c r="G11" s="340"/>
      <c r="H11" s="38"/>
      <c r="I11" s="38"/>
      <c r="J11" s="342"/>
      <c r="K11" s="101"/>
      <c r="L11" s="101"/>
      <c r="M11" s="14"/>
      <c r="N11" s="8"/>
      <c r="O11" s="14"/>
    </row>
    <row r="12" spans="1:19" ht="41.25" customHeight="1" x14ac:dyDescent="0.2">
      <c r="A12" s="1769" t="s">
        <v>110</v>
      </c>
      <c r="B12" s="1769"/>
      <c r="C12" s="1769"/>
      <c r="D12" s="1769"/>
      <c r="E12" s="1769"/>
      <c r="F12" s="1769"/>
      <c r="G12" s="1769"/>
      <c r="H12" s="1769"/>
      <c r="I12" s="1769"/>
      <c r="J12" s="1769"/>
      <c r="K12" s="1769"/>
      <c r="L12" s="1769"/>
      <c r="M12" s="1769"/>
      <c r="N12" s="1769"/>
      <c r="O12" s="1769"/>
      <c r="P12" s="2"/>
      <c r="Q12" s="2"/>
      <c r="R12" s="2"/>
      <c r="S12" s="20"/>
    </row>
    <row r="13" spans="1:19" x14ac:dyDescent="0.2">
      <c r="A13" s="2"/>
      <c r="B13" s="2"/>
      <c r="C13" s="2"/>
      <c r="D13" s="2"/>
      <c r="E13" s="2"/>
      <c r="F13" s="2"/>
      <c r="G13" s="2"/>
      <c r="H13" s="2"/>
      <c r="I13" s="2"/>
      <c r="J13" s="2"/>
      <c r="K13" s="2"/>
      <c r="L13" s="2"/>
      <c r="M13" s="2"/>
      <c r="N13" s="2"/>
      <c r="O13" s="2"/>
      <c r="P13" s="2"/>
      <c r="Q13" s="2"/>
      <c r="R13" s="2"/>
      <c r="S13" s="20"/>
    </row>
    <row r="14" spans="1:19" ht="49.5" customHeight="1" x14ac:dyDescent="0.2">
      <c r="A14" s="1770" t="s">
        <v>45</v>
      </c>
      <c r="B14" s="1770"/>
      <c r="C14" s="1770"/>
      <c r="D14" s="1770"/>
      <c r="E14" s="1770"/>
      <c r="F14" s="1782"/>
      <c r="G14" s="1782"/>
      <c r="H14" s="1782"/>
      <c r="I14" s="1782"/>
      <c r="J14" s="1782"/>
      <c r="K14" s="20"/>
      <c r="L14" s="20"/>
      <c r="M14" s="20"/>
      <c r="N14" s="20"/>
      <c r="O14" s="20"/>
      <c r="P14" s="20"/>
      <c r="Q14" s="20"/>
      <c r="R14" s="20"/>
      <c r="S14" s="20"/>
    </row>
    <row r="15" spans="1:19" ht="49.5" customHeight="1" x14ac:dyDescent="0.2">
      <c r="A15" s="20" t="s">
        <v>48</v>
      </c>
      <c r="B15" s="20"/>
      <c r="C15" s="20"/>
      <c r="D15" s="20"/>
      <c r="E15" s="20"/>
      <c r="F15" s="1783"/>
      <c r="G15" s="1783"/>
      <c r="H15" s="1783"/>
      <c r="I15" s="1783"/>
      <c r="J15" s="1783"/>
      <c r="K15" s="20"/>
      <c r="L15" s="20"/>
      <c r="M15" s="20"/>
      <c r="N15" s="20"/>
      <c r="O15" s="20"/>
      <c r="P15" s="20"/>
      <c r="Q15" s="20"/>
      <c r="R15" s="20"/>
      <c r="S15" s="20"/>
    </row>
    <row r="16" spans="1:19" ht="49.5" customHeight="1" x14ac:dyDescent="0.2">
      <c r="A16" s="20" t="s">
        <v>49</v>
      </c>
      <c r="B16" s="20"/>
      <c r="C16" s="20"/>
      <c r="D16" s="20"/>
      <c r="E16" s="20"/>
      <c r="F16" s="1783"/>
      <c r="G16" s="1783"/>
      <c r="H16" s="1783"/>
      <c r="I16" s="1783"/>
      <c r="J16" s="1783"/>
      <c r="K16" s="20"/>
      <c r="L16" s="20"/>
      <c r="M16" s="20"/>
      <c r="N16" s="20"/>
      <c r="O16" s="20"/>
      <c r="P16" s="20"/>
      <c r="Q16" s="20"/>
      <c r="R16" s="20"/>
      <c r="S16" s="20"/>
    </row>
    <row r="17" spans="1:19" ht="49.5" customHeight="1" x14ac:dyDescent="0.2">
      <c r="A17" s="20" t="s">
        <v>50</v>
      </c>
      <c r="B17" s="20"/>
      <c r="C17" s="20"/>
      <c r="D17" s="20"/>
      <c r="E17" s="20"/>
      <c r="F17" s="1783"/>
      <c r="G17" s="1783"/>
      <c r="H17" s="1783"/>
      <c r="I17" s="1783"/>
      <c r="J17" s="1783"/>
      <c r="K17" s="20"/>
      <c r="L17" s="20"/>
      <c r="M17" s="20"/>
      <c r="N17" s="20"/>
      <c r="O17" s="20"/>
      <c r="P17" s="20"/>
      <c r="Q17" s="20"/>
      <c r="R17" s="20"/>
      <c r="S17" s="20"/>
    </row>
    <row r="18" spans="1:19" x14ac:dyDescent="0.2">
      <c r="A18" s="20"/>
      <c r="B18" s="20"/>
      <c r="C18" s="20"/>
      <c r="D18" s="20"/>
      <c r="E18" s="20"/>
      <c r="F18" s="20"/>
      <c r="G18" s="20"/>
      <c r="H18" s="20"/>
      <c r="I18" s="20"/>
      <c r="J18" s="20"/>
      <c r="K18" s="20"/>
      <c r="L18" s="20"/>
      <c r="M18" s="20"/>
      <c r="N18" s="20"/>
      <c r="O18" s="20"/>
      <c r="P18" s="20"/>
      <c r="Q18" s="20"/>
      <c r="R18" s="20"/>
      <c r="S18" s="20"/>
    </row>
    <row r="19" spans="1:19" x14ac:dyDescent="0.2">
      <c r="A19" s="20"/>
      <c r="B19" s="20"/>
      <c r="C19" s="20"/>
      <c r="D19" s="20"/>
      <c r="E19" s="20"/>
      <c r="F19" s="20"/>
      <c r="G19" s="20"/>
      <c r="H19" s="20"/>
      <c r="I19" s="20"/>
      <c r="J19" s="20"/>
      <c r="K19" s="20"/>
      <c r="L19" s="20"/>
      <c r="M19" s="20"/>
      <c r="N19" s="20"/>
      <c r="O19" s="20"/>
      <c r="P19" s="20"/>
      <c r="Q19" s="20"/>
      <c r="R19" s="20"/>
      <c r="S19" s="20"/>
    </row>
    <row r="20" spans="1:19" ht="12.75" customHeight="1" x14ac:dyDescent="0.2">
      <c r="A20" s="1770"/>
      <c r="B20" s="1770"/>
      <c r="C20" s="1770"/>
      <c r="D20" s="1770"/>
      <c r="E20" s="1770"/>
      <c r="F20" s="1770"/>
      <c r="G20" s="1770"/>
      <c r="H20" s="1770"/>
      <c r="I20" s="1770"/>
      <c r="J20" s="1770"/>
      <c r="K20" s="1770"/>
      <c r="L20" s="1770"/>
      <c r="M20" s="1770"/>
      <c r="N20" s="1770"/>
      <c r="O20" s="1770"/>
      <c r="P20" s="89"/>
      <c r="Q20" s="89"/>
      <c r="R20" s="89"/>
      <c r="S20" s="89"/>
    </row>
    <row r="21" spans="1:19" x14ac:dyDescent="0.2">
      <c r="A21" s="20"/>
      <c r="B21" s="20"/>
      <c r="C21" s="20"/>
      <c r="D21" s="20"/>
      <c r="E21" s="20"/>
      <c r="F21" s="20"/>
      <c r="G21" s="20"/>
      <c r="H21" s="20"/>
      <c r="I21" s="20"/>
      <c r="J21" s="20"/>
      <c r="K21" s="20"/>
      <c r="L21" s="20"/>
      <c r="M21" s="20"/>
      <c r="N21" s="20"/>
      <c r="O21" s="20"/>
      <c r="P21" s="20"/>
      <c r="Q21" s="20"/>
      <c r="R21" s="20"/>
      <c r="S21" s="20"/>
    </row>
    <row r="22" spans="1:19" x14ac:dyDescent="0.2">
      <c r="A22" s="20"/>
      <c r="B22" s="20"/>
      <c r="C22" s="20"/>
      <c r="D22" s="20"/>
      <c r="E22" s="20"/>
      <c r="F22" s="20"/>
      <c r="G22" s="20"/>
      <c r="H22" s="20"/>
      <c r="I22" s="20"/>
      <c r="J22" s="20"/>
      <c r="K22" s="20"/>
      <c r="L22" s="20"/>
      <c r="M22" s="20"/>
      <c r="N22" s="20"/>
      <c r="O22" s="20"/>
      <c r="P22" s="20"/>
      <c r="Q22" s="20"/>
      <c r="R22" s="20"/>
      <c r="S22" s="20"/>
    </row>
    <row r="23" spans="1:19" x14ac:dyDescent="0.2">
      <c r="A23" s="20"/>
      <c r="B23" s="20"/>
      <c r="C23" s="20"/>
      <c r="D23" s="20"/>
      <c r="E23" s="20"/>
      <c r="F23" s="20"/>
      <c r="G23" s="20"/>
      <c r="H23" s="20"/>
      <c r="I23" s="20"/>
      <c r="J23" s="20"/>
      <c r="K23" s="20"/>
      <c r="L23" s="20"/>
      <c r="M23" s="20"/>
      <c r="N23" s="20"/>
      <c r="O23" s="20"/>
      <c r="P23" s="20"/>
      <c r="Q23" s="20"/>
      <c r="R23" s="20"/>
      <c r="S23" s="20"/>
    </row>
    <row r="24" spans="1:19" x14ac:dyDescent="0.2">
      <c r="A24" s="20"/>
      <c r="B24" s="20"/>
      <c r="C24" s="20"/>
      <c r="D24" s="20"/>
      <c r="E24" s="20"/>
      <c r="F24" s="20"/>
      <c r="G24" s="20"/>
      <c r="H24" s="20"/>
      <c r="I24" s="20"/>
      <c r="J24" s="20"/>
      <c r="K24" s="20"/>
      <c r="L24" s="20"/>
      <c r="M24" s="20"/>
      <c r="N24" s="20"/>
      <c r="O24" s="20"/>
      <c r="P24" s="20"/>
      <c r="Q24" s="20"/>
      <c r="R24" s="20"/>
      <c r="S24" s="20"/>
    </row>
    <row r="25" spans="1:19" x14ac:dyDescent="0.2">
      <c r="A25" s="20"/>
      <c r="B25" s="20"/>
      <c r="C25" s="20"/>
      <c r="D25" s="20"/>
      <c r="E25" s="20"/>
      <c r="F25" s="20"/>
      <c r="G25" s="20"/>
      <c r="H25" s="20"/>
      <c r="I25" s="20"/>
      <c r="J25" s="20"/>
      <c r="K25" s="20"/>
      <c r="L25" s="20"/>
      <c r="M25" s="20"/>
      <c r="N25" s="20"/>
      <c r="O25" s="20"/>
      <c r="P25" s="20"/>
      <c r="Q25" s="20"/>
      <c r="R25" s="20"/>
      <c r="S25" s="20"/>
    </row>
    <row r="26" spans="1:19" x14ac:dyDescent="0.2">
      <c r="A26" s="20"/>
      <c r="B26" s="20"/>
      <c r="C26" s="20"/>
      <c r="D26" s="20"/>
      <c r="E26" s="20"/>
      <c r="F26" s="20"/>
      <c r="G26" s="20"/>
      <c r="H26" s="20"/>
      <c r="I26" s="20"/>
      <c r="J26" s="20"/>
      <c r="K26" s="20"/>
      <c r="L26" s="20"/>
      <c r="M26" s="20"/>
      <c r="N26" s="20"/>
      <c r="O26" s="20"/>
      <c r="P26" s="20"/>
      <c r="Q26" s="20"/>
      <c r="R26" s="20"/>
      <c r="S26" s="20"/>
    </row>
    <row r="27" spans="1:19" x14ac:dyDescent="0.2">
      <c r="A27" s="20"/>
      <c r="B27" s="20"/>
      <c r="C27" s="20"/>
      <c r="D27" s="20"/>
      <c r="E27" s="20"/>
      <c r="F27" s="20"/>
      <c r="G27" s="20"/>
      <c r="H27" s="20"/>
      <c r="I27" s="20"/>
      <c r="J27" s="20"/>
      <c r="K27" s="20"/>
      <c r="L27" s="20"/>
      <c r="M27" s="20"/>
      <c r="N27" s="20"/>
      <c r="O27" s="20"/>
      <c r="P27" s="20"/>
      <c r="Q27" s="20"/>
      <c r="R27" s="20"/>
      <c r="S27" s="20"/>
    </row>
    <row r="28" spans="1:19" x14ac:dyDescent="0.2">
      <c r="A28" s="20"/>
      <c r="B28" s="20"/>
      <c r="C28" s="20"/>
      <c r="D28" s="20"/>
      <c r="E28" s="20"/>
      <c r="F28" s="20"/>
      <c r="G28" s="20"/>
      <c r="H28" s="20"/>
      <c r="I28" s="20"/>
      <c r="J28" s="20"/>
      <c r="K28" s="20"/>
      <c r="L28" s="20"/>
      <c r="M28" s="20"/>
      <c r="N28" s="20"/>
      <c r="O28" s="20"/>
      <c r="P28" s="20"/>
      <c r="Q28" s="20"/>
      <c r="R28" s="20"/>
      <c r="S28" s="20"/>
    </row>
    <row r="29" spans="1:19" x14ac:dyDescent="0.2">
      <c r="A29" s="20"/>
      <c r="B29" s="20"/>
      <c r="C29" s="20"/>
      <c r="D29" s="20"/>
      <c r="E29" s="20"/>
      <c r="F29" s="20"/>
      <c r="G29" s="20"/>
      <c r="H29" s="20"/>
      <c r="I29" s="20"/>
      <c r="J29" s="20"/>
      <c r="K29" s="20"/>
      <c r="L29" s="20"/>
      <c r="M29" s="20"/>
      <c r="N29" s="20"/>
      <c r="O29" s="20"/>
      <c r="P29" s="20"/>
      <c r="Q29" s="20"/>
      <c r="R29" s="20"/>
      <c r="S29" s="20"/>
    </row>
    <row r="30" spans="1:19" x14ac:dyDescent="0.2">
      <c r="A30" s="20"/>
      <c r="B30" s="20"/>
      <c r="C30" s="20"/>
      <c r="D30" s="20"/>
      <c r="E30" s="20"/>
      <c r="F30" s="20"/>
      <c r="G30" s="20"/>
      <c r="H30" s="20"/>
      <c r="I30" s="20"/>
      <c r="J30" s="20"/>
      <c r="K30" s="20"/>
      <c r="L30" s="20"/>
      <c r="M30" s="20"/>
      <c r="N30" s="20"/>
      <c r="O30" s="20"/>
      <c r="P30" s="20"/>
      <c r="Q30" s="20"/>
      <c r="R30" s="20"/>
      <c r="S30" s="20"/>
    </row>
    <row r="31" spans="1:19" x14ac:dyDescent="0.2">
      <c r="A31" s="20"/>
      <c r="B31" s="20"/>
      <c r="C31" s="20"/>
      <c r="D31" s="20"/>
      <c r="E31" s="20"/>
      <c r="F31" s="20"/>
      <c r="G31" s="20"/>
      <c r="H31" s="20"/>
      <c r="I31" s="20"/>
      <c r="J31" s="20"/>
      <c r="K31" s="20"/>
      <c r="L31" s="20"/>
      <c r="M31" s="20"/>
      <c r="N31" s="20"/>
      <c r="O31" s="20"/>
      <c r="P31" s="20"/>
      <c r="Q31" s="20"/>
      <c r="R31" s="20"/>
      <c r="S31" s="20"/>
    </row>
    <row r="32" spans="1:19" x14ac:dyDescent="0.2">
      <c r="A32" s="20"/>
      <c r="B32" s="20"/>
      <c r="C32" s="20"/>
      <c r="D32" s="20"/>
      <c r="E32" s="20"/>
      <c r="F32" s="20"/>
      <c r="G32" s="20"/>
      <c r="H32" s="20"/>
      <c r="I32" s="20"/>
      <c r="J32" s="20"/>
      <c r="K32" s="20"/>
      <c r="L32" s="20"/>
      <c r="M32" s="20"/>
      <c r="N32" s="20"/>
      <c r="O32" s="20"/>
      <c r="P32" s="20"/>
      <c r="Q32" s="20"/>
      <c r="R32" s="20"/>
      <c r="S32" s="20"/>
    </row>
    <row r="33" spans="1:19" x14ac:dyDescent="0.2">
      <c r="A33" s="20"/>
      <c r="B33" s="20"/>
      <c r="C33" s="20"/>
      <c r="D33" s="20"/>
      <c r="E33" s="20"/>
      <c r="F33" s="20"/>
      <c r="G33" s="20"/>
      <c r="H33" s="20"/>
      <c r="I33" s="20"/>
      <c r="J33" s="20"/>
      <c r="K33" s="20"/>
      <c r="L33" s="20"/>
      <c r="M33" s="20"/>
      <c r="N33" s="20"/>
      <c r="O33" s="20"/>
      <c r="P33" s="20"/>
      <c r="Q33" s="20"/>
      <c r="R33" s="20"/>
      <c r="S33" s="20"/>
    </row>
    <row r="34" spans="1:19" x14ac:dyDescent="0.2">
      <c r="A34" s="20"/>
      <c r="B34" s="20"/>
      <c r="C34" s="20"/>
      <c r="D34" s="20"/>
      <c r="E34" s="20"/>
      <c r="F34" s="20"/>
      <c r="G34" s="20"/>
      <c r="H34" s="20"/>
      <c r="I34" s="20"/>
      <c r="J34" s="20"/>
      <c r="K34" s="20"/>
      <c r="L34" s="20"/>
      <c r="M34" s="20"/>
      <c r="N34" s="20"/>
      <c r="O34" s="20"/>
      <c r="P34" s="20"/>
      <c r="Q34" s="20"/>
      <c r="R34" s="20"/>
      <c r="S34" s="20"/>
    </row>
    <row r="35" spans="1:19" x14ac:dyDescent="0.2">
      <c r="A35" s="20"/>
      <c r="B35" s="20"/>
      <c r="C35" s="20"/>
      <c r="D35" s="20"/>
      <c r="E35" s="20"/>
      <c r="F35" s="20"/>
      <c r="G35" s="20"/>
      <c r="H35" s="20"/>
      <c r="I35" s="20"/>
      <c r="J35" s="20"/>
      <c r="K35" s="20"/>
      <c r="L35" s="20"/>
      <c r="M35" s="20"/>
      <c r="N35" s="20"/>
      <c r="O35" s="20"/>
      <c r="P35" s="20"/>
      <c r="Q35" s="20"/>
      <c r="R35" s="20"/>
      <c r="S35" s="20"/>
    </row>
    <row r="36" spans="1:19" x14ac:dyDescent="0.2">
      <c r="A36" s="20"/>
      <c r="B36" s="20"/>
      <c r="C36" s="20"/>
      <c r="D36" s="20"/>
      <c r="E36" s="20"/>
      <c r="F36" s="20"/>
      <c r="G36" s="20"/>
      <c r="H36" s="20"/>
      <c r="I36" s="20"/>
      <c r="J36" s="20"/>
      <c r="K36" s="20"/>
      <c r="L36" s="20"/>
      <c r="M36" s="20"/>
      <c r="N36" s="20"/>
      <c r="O36" s="20"/>
      <c r="P36" s="20"/>
      <c r="Q36" s="20"/>
      <c r="R36" s="20"/>
      <c r="S36" s="20"/>
    </row>
    <row r="37" spans="1:19" x14ac:dyDescent="0.2">
      <c r="A37" s="20"/>
      <c r="B37" s="20"/>
      <c r="C37" s="20"/>
      <c r="D37" s="20"/>
      <c r="E37" s="20"/>
      <c r="F37" s="20"/>
      <c r="G37" s="20"/>
      <c r="H37" s="20"/>
      <c r="I37" s="20"/>
      <c r="J37" s="20"/>
      <c r="K37" s="20"/>
      <c r="L37" s="20"/>
      <c r="M37" s="20"/>
      <c r="N37" s="20"/>
      <c r="O37" s="20"/>
      <c r="P37" s="20"/>
      <c r="Q37" s="20"/>
      <c r="R37" s="20"/>
      <c r="S37" s="20"/>
    </row>
    <row r="38" spans="1:19" x14ac:dyDescent="0.2">
      <c r="A38" s="20"/>
      <c r="B38" s="20"/>
      <c r="C38" s="20"/>
      <c r="D38" s="20"/>
      <c r="E38" s="20"/>
      <c r="F38" s="20"/>
      <c r="G38" s="20"/>
      <c r="H38" s="20"/>
      <c r="I38" s="20"/>
      <c r="J38" s="20"/>
      <c r="K38" s="20"/>
      <c r="L38" s="20"/>
      <c r="M38" s="20"/>
      <c r="N38" s="20"/>
      <c r="O38" s="20"/>
      <c r="P38" s="20"/>
      <c r="Q38" s="20"/>
      <c r="R38" s="20"/>
      <c r="S38" s="20"/>
    </row>
    <row r="39" spans="1:19" x14ac:dyDescent="0.2">
      <c r="A39" s="20"/>
      <c r="B39" s="20"/>
      <c r="C39" s="20"/>
      <c r="D39" s="20"/>
      <c r="E39" s="20"/>
      <c r="F39" s="20"/>
      <c r="G39" s="20"/>
      <c r="H39" s="20"/>
      <c r="I39" s="20"/>
      <c r="J39" s="20"/>
      <c r="K39" s="20"/>
      <c r="L39" s="20"/>
      <c r="M39" s="20"/>
      <c r="N39" s="20"/>
      <c r="O39" s="20"/>
      <c r="P39" s="20"/>
      <c r="Q39" s="20"/>
      <c r="R39" s="20"/>
      <c r="S39" s="20"/>
    </row>
  </sheetData>
  <sheetProtection algorithmName="SHA-512" hashValue="/XebEs+ydf21JseZtlLgR5lTldrrldcM7piYb5Nd/Tf54bGwCtSZoZ3eVqmm5XUTMyOdup0jHIbKTtx2OTNCBQ==" saltValue="FOhAwQcn8MxT0PkAWn3eAA==" spinCount="100000" scenarios="1" formatCells="0" formatColumns="0" formatRows="0" selectLockedCells="1"/>
  <mergeCells count="14">
    <mergeCell ref="A12:O12"/>
    <mergeCell ref="A20:O20"/>
    <mergeCell ref="A14:E14"/>
    <mergeCell ref="A1:O1"/>
    <mergeCell ref="A5:E5"/>
    <mergeCell ref="F5:J5"/>
    <mergeCell ref="F9:J9"/>
    <mergeCell ref="A9:E9"/>
    <mergeCell ref="F14:J14"/>
    <mergeCell ref="F15:J15"/>
    <mergeCell ref="F16:J16"/>
    <mergeCell ref="F17:J17"/>
    <mergeCell ref="F10:J10"/>
    <mergeCell ref="A10:E10"/>
  </mergeCells>
  <printOptions horizontalCentered="1" verticalCentered="1"/>
  <pageMargins left="0.23622047244094491" right="0.23622047244094491" top="0.74803149606299213" bottom="0.74803149606299213" header="0.31496062992125984" footer="0.31496062992125984"/>
  <pageSetup paperSize="9" scale="61" orientation="landscape" r:id="rId1"/>
  <headerFooter>
    <oddFooter>&amp;L&amp;A&amp;R&amp;P</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3">
    <tabColor theme="0" tint="-0.249977111117893"/>
  </sheetPr>
  <dimension ref="A1:S43"/>
  <sheetViews>
    <sheetView view="pageBreakPreview" zoomScale="70" zoomScaleNormal="100" zoomScaleSheetLayoutView="70" workbookViewId="0">
      <selection activeCell="A14" sqref="A14:O14"/>
    </sheetView>
  </sheetViews>
  <sheetFormatPr defaultRowHeight="12.75" x14ac:dyDescent="0.2"/>
  <cols>
    <col min="1" max="1" width="30.42578125" customWidth="1"/>
    <col min="5" max="5" width="18.42578125" customWidth="1"/>
    <col min="7" max="7" width="10.85546875" customWidth="1"/>
    <col min="8" max="8" width="23.140625" customWidth="1"/>
    <col min="9" max="9" width="14.85546875" customWidth="1"/>
    <col min="10" max="10" width="26.85546875" customWidth="1"/>
    <col min="15" max="15" width="57.85546875" customWidth="1"/>
  </cols>
  <sheetData>
    <row r="1" spans="1:19" ht="39" customHeight="1" x14ac:dyDescent="0.35">
      <c r="A1" s="1710" t="str">
        <f>IF(CoverSheet!J12="N/A","Progress Report","Progress Report with Disbursement Request")</f>
        <v>Progress Report with Disbursement Request</v>
      </c>
      <c r="B1" s="1710"/>
      <c r="C1" s="1710"/>
      <c r="D1" s="1710"/>
      <c r="E1" s="1710"/>
      <c r="F1" s="1710"/>
      <c r="G1" s="1710"/>
      <c r="H1" s="1710"/>
      <c r="I1" s="1710"/>
      <c r="J1" s="1710"/>
      <c r="K1" s="1710"/>
      <c r="L1" s="1710"/>
      <c r="M1" s="1710"/>
      <c r="N1" s="1710"/>
      <c r="O1" s="1710"/>
    </row>
    <row r="2" spans="1:19" ht="3.75" hidden="1" customHeight="1" x14ac:dyDescent="0.2">
      <c r="A2" s="101"/>
      <c r="B2" s="101"/>
      <c r="C2" s="101"/>
      <c r="D2" s="101"/>
      <c r="E2" s="101"/>
      <c r="F2" s="101"/>
      <c r="G2" s="101"/>
      <c r="H2" s="101"/>
      <c r="I2" s="101"/>
      <c r="J2" s="101"/>
      <c r="K2" s="101"/>
      <c r="L2" s="2"/>
      <c r="M2" s="2"/>
      <c r="N2" s="2"/>
      <c r="O2" s="2"/>
    </row>
    <row r="3" spans="1:19" ht="30" customHeight="1" x14ac:dyDescent="0.2">
      <c r="A3" s="132" t="s">
        <v>102</v>
      </c>
      <c r="B3" s="121"/>
      <c r="C3" s="121"/>
      <c r="D3" s="121"/>
      <c r="E3" s="121"/>
      <c r="F3" s="38"/>
      <c r="G3" s="38"/>
      <c r="H3" s="38"/>
      <c r="I3" s="38"/>
      <c r="J3" s="38"/>
      <c r="K3" s="86"/>
      <c r="L3" s="86"/>
      <c r="M3" s="86"/>
      <c r="N3" s="86"/>
      <c r="O3" s="86"/>
    </row>
    <row r="4" spans="1:19" ht="30" customHeight="1" x14ac:dyDescent="0.25">
      <c r="A4" s="142" t="s">
        <v>194</v>
      </c>
      <c r="B4" s="143"/>
      <c r="C4" s="143"/>
      <c r="D4" s="143"/>
      <c r="E4" s="143"/>
      <c r="F4" s="143"/>
      <c r="G4" s="143"/>
      <c r="H4" s="143"/>
      <c r="I4" s="143"/>
      <c r="J4" s="143"/>
      <c r="K4" s="143"/>
      <c r="L4" s="143"/>
      <c r="M4" s="143"/>
      <c r="N4" s="143"/>
      <c r="O4" s="143"/>
    </row>
    <row r="5" spans="1:19" ht="12.75" customHeight="1" x14ac:dyDescent="0.2">
      <c r="A5" s="11"/>
      <c r="B5" s="101"/>
      <c r="C5" s="101"/>
      <c r="D5" s="101"/>
      <c r="E5" s="101"/>
      <c r="F5" s="101"/>
      <c r="G5" s="101"/>
      <c r="H5" s="101"/>
      <c r="I5" s="101"/>
      <c r="J5" s="101"/>
      <c r="K5" s="101"/>
      <c r="L5" s="35"/>
      <c r="M5" s="35"/>
      <c r="N5" s="35"/>
      <c r="O5" s="35"/>
    </row>
    <row r="6" spans="1:19" ht="14.25" x14ac:dyDescent="0.2">
      <c r="A6" s="1772" t="s">
        <v>147</v>
      </c>
      <c r="B6" s="1772"/>
      <c r="C6" s="1772"/>
      <c r="D6" s="1772"/>
      <c r="E6" s="1772"/>
      <c r="F6" s="1773" t="str">
        <f>CoverSheet!D7</f>
        <v>ROU-T-RAA</v>
      </c>
      <c r="G6" s="1774"/>
      <c r="H6" s="1774"/>
      <c r="I6" s="1774"/>
      <c r="J6" s="1775"/>
      <c r="K6" s="101"/>
      <c r="L6" s="35"/>
      <c r="M6" s="35"/>
      <c r="N6" s="35"/>
      <c r="O6" s="35"/>
    </row>
    <row r="7" spans="1:19" ht="14.25" x14ac:dyDescent="0.2">
      <c r="A7" s="335" t="s">
        <v>243</v>
      </c>
      <c r="B7" s="336"/>
      <c r="C7" s="336"/>
      <c r="D7" s="336"/>
      <c r="E7" s="337"/>
      <c r="F7" s="331" t="s">
        <v>39</v>
      </c>
      <c r="G7" s="337"/>
      <c r="H7" s="957">
        <f>CoverSheet!J6</f>
        <v>42736</v>
      </c>
      <c r="I7" s="330" t="s">
        <v>47</v>
      </c>
      <c r="J7" s="957">
        <f>CoverSheet!L6</f>
        <v>43100</v>
      </c>
      <c r="K7" s="101"/>
      <c r="L7" s="35"/>
      <c r="M7" s="35"/>
      <c r="N7" s="35"/>
      <c r="O7" s="35"/>
    </row>
    <row r="8" spans="1:19" ht="14.25" x14ac:dyDescent="0.2">
      <c r="A8" s="335" t="s">
        <v>52</v>
      </c>
      <c r="B8" s="336"/>
      <c r="C8" s="336"/>
      <c r="D8" s="336"/>
      <c r="E8" s="337"/>
      <c r="F8" s="331" t="s">
        <v>39</v>
      </c>
      <c r="G8" s="331"/>
      <c r="H8" s="958">
        <f>CoverSheet!J12</f>
        <v>43101</v>
      </c>
      <c r="I8" s="330" t="s">
        <v>47</v>
      </c>
      <c r="J8" s="957">
        <f>CoverSheet!L12</f>
        <v>43190</v>
      </c>
      <c r="K8" s="101"/>
      <c r="L8" s="35"/>
      <c r="M8" s="35"/>
      <c r="N8" s="35"/>
      <c r="O8" s="35"/>
    </row>
    <row r="9" spans="1:19" ht="14.25" x14ac:dyDescent="0.2">
      <c r="A9" s="335" t="str">
        <f>CoverSheet!F13</f>
        <v>Disbursement Request Buffer Period</v>
      </c>
      <c r="B9" s="336"/>
      <c r="C9" s="336"/>
      <c r="D9" s="336"/>
      <c r="E9" s="337"/>
      <c r="F9" s="331" t="s">
        <v>39</v>
      </c>
      <c r="G9" s="331"/>
      <c r="H9" s="959" t="str">
        <f>CoverSheet!J13</f>
        <v>N/A</v>
      </c>
      <c r="I9" s="330" t="s">
        <v>47</v>
      </c>
      <c r="J9" s="958" t="str">
        <f>CoverSheet!L13</f>
        <v>N/A</v>
      </c>
      <c r="K9" s="101"/>
      <c r="L9" s="35"/>
      <c r="M9" s="35"/>
      <c r="N9" s="35"/>
      <c r="O9" s="35"/>
    </row>
    <row r="10" spans="1:19" ht="14.25" x14ac:dyDescent="0.2">
      <c r="A10" s="1779" t="s">
        <v>38</v>
      </c>
      <c r="B10" s="1780"/>
      <c r="C10" s="1780"/>
      <c r="D10" s="1780"/>
      <c r="E10" s="1781"/>
      <c r="F10" s="1776" t="str">
        <f>CoverSheet!D11</f>
        <v>EUR</v>
      </c>
      <c r="G10" s="1777"/>
      <c r="H10" s="1777"/>
      <c r="I10" s="1777"/>
      <c r="J10" s="1778"/>
      <c r="K10" s="87"/>
      <c r="L10" s="86"/>
      <c r="M10" s="86"/>
      <c r="N10" s="86"/>
      <c r="O10" s="86"/>
    </row>
    <row r="11" spans="1:19" ht="14.25" x14ac:dyDescent="0.2">
      <c r="A11" s="1779" t="s">
        <v>239</v>
      </c>
      <c r="B11" s="1780"/>
      <c r="C11" s="1780"/>
      <c r="D11" s="1780"/>
      <c r="E11" s="1781"/>
      <c r="F11" s="1784">
        <f>IF(CoverSheet!J12="N/A","",'Request and Recommendation_8B'!K45)</f>
        <v>0</v>
      </c>
      <c r="G11" s="1785"/>
      <c r="H11" s="1785"/>
      <c r="I11" s="1785"/>
      <c r="J11" s="1786"/>
      <c r="K11" s="87"/>
      <c r="L11" s="86"/>
      <c r="M11" s="86"/>
      <c r="N11" s="86"/>
      <c r="O11" s="86"/>
    </row>
    <row r="12" spans="1:19" ht="41.25" customHeight="1" x14ac:dyDescent="0.2">
      <c r="A12" s="121" t="s">
        <v>188</v>
      </c>
      <c r="B12" s="121"/>
      <c r="C12" s="121"/>
      <c r="D12" s="121"/>
      <c r="E12" s="121"/>
      <c r="F12" s="38"/>
      <c r="G12" s="38"/>
      <c r="H12" s="38"/>
      <c r="I12" s="38"/>
      <c r="J12" s="38"/>
      <c r="K12" s="86"/>
      <c r="L12" s="86"/>
      <c r="M12" s="86"/>
      <c r="N12" s="86"/>
      <c r="O12" s="86"/>
    </row>
    <row r="13" spans="1:19" ht="39" customHeight="1" x14ac:dyDescent="0.2">
      <c r="A13" s="1789" t="s">
        <v>189</v>
      </c>
      <c r="B13" s="1789"/>
      <c r="C13" s="1789"/>
      <c r="D13" s="1789"/>
      <c r="E13" s="1789"/>
      <c r="F13" s="1789"/>
      <c r="G13" s="1789"/>
      <c r="H13" s="1789"/>
      <c r="I13" s="1789"/>
      <c r="J13" s="1789"/>
      <c r="K13" s="1789"/>
      <c r="L13" s="1789"/>
      <c r="M13" s="1789"/>
      <c r="N13" s="1789"/>
      <c r="O13" s="1789"/>
      <c r="P13" s="2"/>
      <c r="Q13" s="2"/>
      <c r="R13" s="2"/>
    </row>
    <row r="14" spans="1:19" ht="121.5" customHeight="1" x14ac:dyDescent="0.2">
      <c r="A14" s="1791"/>
      <c r="B14" s="1792"/>
      <c r="C14" s="1792"/>
      <c r="D14" s="1792"/>
      <c r="E14" s="1792"/>
      <c r="F14" s="1792"/>
      <c r="G14" s="1792"/>
      <c r="H14" s="1792"/>
      <c r="I14" s="1792"/>
      <c r="J14" s="1792"/>
      <c r="K14" s="1792"/>
      <c r="L14" s="1792"/>
      <c r="M14" s="1792"/>
      <c r="N14" s="1792"/>
      <c r="O14" s="1793"/>
      <c r="P14" s="131"/>
      <c r="Q14" s="20"/>
      <c r="R14" s="101"/>
    </row>
    <row r="15" spans="1:19" ht="12" customHeight="1" x14ac:dyDescent="0.2">
      <c r="A15" s="1790"/>
      <c r="B15" s="1790"/>
      <c r="C15" s="1790"/>
      <c r="D15" s="1790"/>
      <c r="E15" s="1790"/>
      <c r="F15" s="1790"/>
      <c r="G15" s="1790"/>
      <c r="H15" s="1790"/>
      <c r="I15" s="1790"/>
      <c r="J15" s="1790"/>
      <c r="K15" s="1790"/>
      <c r="L15" s="1790"/>
      <c r="M15" s="1790"/>
      <c r="N15" s="1790"/>
      <c r="O15" s="1790"/>
      <c r="P15" s="101"/>
      <c r="Q15" s="101"/>
      <c r="R15" s="101"/>
    </row>
    <row r="16" spans="1:19" ht="36.75" customHeight="1" x14ac:dyDescent="0.2">
      <c r="A16" s="1788" t="s">
        <v>111</v>
      </c>
      <c r="B16" s="1788"/>
      <c r="C16" s="1788"/>
      <c r="D16" s="1788"/>
      <c r="E16" s="1788"/>
      <c r="F16" s="1788"/>
      <c r="G16" s="1788"/>
      <c r="H16" s="1788"/>
      <c r="I16" s="1788"/>
      <c r="J16" s="1788"/>
      <c r="K16" s="1788"/>
      <c r="L16" s="1788"/>
      <c r="M16" s="1788"/>
      <c r="N16" s="1788"/>
      <c r="O16" s="1788"/>
      <c r="P16" s="2"/>
      <c r="Q16" s="2"/>
      <c r="R16" s="2"/>
      <c r="S16" s="20"/>
    </row>
    <row r="17" spans="1:19" x14ac:dyDescent="0.2">
      <c r="A17" s="2"/>
      <c r="B17" s="2"/>
      <c r="C17" s="2"/>
      <c r="D17" s="2"/>
      <c r="E17" s="2"/>
      <c r="F17" s="2"/>
      <c r="G17" s="2"/>
      <c r="H17" s="2"/>
      <c r="I17" s="2"/>
      <c r="J17" s="2"/>
      <c r="K17" s="2"/>
      <c r="L17" s="2"/>
      <c r="M17" s="2"/>
      <c r="N17" s="2"/>
      <c r="O17" s="2"/>
      <c r="P17" s="2"/>
      <c r="Q17" s="2"/>
      <c r="R17" s="2"/>
      <c r="S17" s="20"/>
    </row>
    <row r="18" spans="1:19" ht="43.5" customHeight="1" x14ac:dyDescent="0.2">
      <c r="A18" s="20" t="s">
        <v>112</v>
      </c>
      <c r="B18" s="20"/>
      <c r="C18" s="20"/>
      <c r="D18" s="1794"/>
      <c r="E18" s="1794"/>
      <c r="F18" s="1794"/>
      <c r="G18" s="20"/>
      <c r="H18" s="20"/>
      <c r="I18" s="20"/>
      <c r="J18" s="20"/>
      <c r="K18" s="20"/>
      <c r="L18" s="20"/>
      <c r="M18" s="20"/>
      <c r="N18" s="20"/>
      <c r="O18" s="20"/>
      <c r="P18" s="20"/>
      <c r="Q18" s="20"/>
      <c r="R18" s="20"/>
      <c r="S18" s="20"/>
    </row>
    <row r="19" spans="1:19" ht="43.5" customHeight="1" x14ac:dyDescent="0.2">
      <c r="A19" s="20" t="s">
        <v>48</v>
      </c>
      <c r="B19" s="20"/>
      <c r="C19" s="20"/>
      <c r="D19" s="1795"/>
      <c r="E19" s="1795"/>
      <c r="F19" s="1795"/>
      <c r="G19" s="20"/>
      <c r="H19" s="20"/>
      <c r="I19" s="20"/>
      <c r="J19" s="20"/>
      <c r="K19" s="20"/>
      <c r="L19" s="20"/>
      <c r="M19" s="20"/>
      <c r="N19" s="20"/>
      <c r="O19" s="20"/>
      <c r="P19" s="20"/>
      <c r="Q19" s="20"/>
      <c r="R19" s="20"/>
      <c r="S19" s="20"/>
    </row>
    <row r="20" spans="1:19" ht="43.5" customHeight="1" x14ac:dyDescent="0.2">
      <c r="A20" s="20" t="s">
        <v>49</v>
      </c>
      <c r="B20" s="20"/>
      <c r="C20" s="20"/>
      <c r="D20" s="1795"/>
      <c r="E20" s="1795"/>
      <c r="F20" s="1795"/>
      <c r="G20" s="20"/>
      <c r="H20" s="20"/>
      <c r="I20" s="20"/>
      <c r="J20" s="20"/>
      <c r="K20" s="20"/>
      <c r="L20" s="20"/>
      <c r="M20" s="20"/>
      <c r="N20" s="20"/>
      <c r="O20" s="20"/>
      <c r="P20" s="20"/>
      <c r="Q20" s="20"/>
      <c r="R20" s="20"/>
      <c r="S20" s="20"/>
    </row>
    <row r="21" spans="1:19" ht="43.5" customHeight="1" x14ac:dyDescent="0.2">
      <c r="A21" s="20" t="s">
        <v>50</v>
      </c>
      <c r="B21" s="20"/>
      <c r="C21" s="20"/>
      <c r="D21" s="1795"/>
      <c r="E21" s="1795"/>
      <c r="F21" s="1795"/>
      <c r="G21" s="20"/>
      <c r="H21" s="20"/>
      <c r="I21" s="20"/>
      <c r="J21" s="20"/>
      <c r="K21" s="20"/>
      <c r="L21" s="20"/>
      <c r="M21" s="20"/>
      <c r="N21" s="20"/>
      <c r="O21" s="20"/>
      <c r="P21" s="20"/>
      <c r="Q21" s="20"/>
      <c r="R21" s="20"/>
      <c r="S21" s="20"/>
    </row>
    <row r="22" spans="1:19" x14ac:dyDescent="0.2">
      <c r="A22" s="20"/>
      <c r="B22" s="20"/>
      <c r="C22" s="20"/>
      <c r="D22" s="20"/>
      <c r="E22" s="20"/>
      <c r="F22" s="20"/>
      <c r="G22" s="20"/>
      <c r="H22" s="20"/>
      <c r="I22" s="20"/>
      <c r="J22" s="20"/>
      <c r="K22" s="20"/>
      <c r="L22" s="20"/>
      <c r="M22" s="20"/>
      <c r="N22" s="20"/>
      <c r="O22" s="20"/>
      <c r="P22" s="20"/>
      <c r="Q22" s="20"/>
      <c r="R22" s="20"/>
      <c r="S22" s="20"/>
    </row>
    <row r="23" spans="1:19" x14ac:dyDescent="0.2">
      <c r="A23" s="20"/>
      <c r="B23" s="20"/>
      <c r="C23" s="20"/>
      <c r="D23" s="20"/>
      <c r="E23" s="20"/>
      <c r="F23" s="20"/>
      <c r="G23" s="20"/>
      <c r="H23" s="20"/>
      <c r="I23" s="20"/>
      <c r="J23" s="20"/>
      <c r="K23" s="20"/>
      <c r="L23" s="20"/>
      <c r="M23" s="20"/>
      <c r="N23" s="20"/>
      <c r="O23" s="20"/>
      <c r="P23" s="20"/>
      <c r="Q23" s="20"/>
      <c r="R23" s="20"/>
      <c r="S23" s="20"/>
    </row>
    <row r="24" spans="1:19" ht="12.75" customHeight="1" x14ac:dyDescent="0.2">
      <c r="A24" s="1770"/>
      <c r="B24" s="1770"/>
      <c r="C24" s="1770"/>
      <c r="D24" s="1770"/>
      <c r="E24" s="1770"/>
      <c r="F24" s="1770"/>
      <c r="G24" s="1770"/>
      <c r="H24" s="1770"/>
      <c r="I24" s="1770"/>
      <c r="J24" s="1770"/>
      <c r="K24" s="1770"/>
      <c r="L24" s="1770"/>
      <c r="M24" s="1770"/>
      <c r="N24" s="1770"/>
      <c r="O24" s="1770"/>
      <c r="P24" s="89"/>
      <c r="Q24" s="89"/>
      <c r="R24" s="89"/>
      <c r="S24" s="89"/>
    </row>
    <row r="25" spans="1:19" x14ac:dyDescent="0.2">
      <c r="A25" s="20"/>
      <c r="B25" s="20"/>
      <c r="C25" s="20"/>
      <c r="D25" s="20"/>
      <c r="E25" s="20"/>
      <c r="F25" s="20"/>
      <c r="G25" s="20"/>
      <c r="H25" s="20"/>
      <c r="I25" s="20"/>
      <c r="J25" s="20"/>
      <c r="K25" s="20"/>
      <c r="L25" s="20"/>
      <c r="M25" s="20"/>
      <c r="N25" s="20"/>
      <c r="O25" s="20"/>
      <c r="P25" s="20"/>
      <c r="Q25" s="20"/>
      <c r="R25" s="20"/>
      <c r="S25" s="20"/>
    </row>
    <row r="26" spans="1:19" x14ac:dyDescent="0.2">
      <c r="A26" s="20"/>
      <c r="B26" s="20"/>
      <c r="C26" s="20"/>
      <c r="D26" s="20"/>
      <c r="E26" s="20"/>
      <c r="F26" s="20"/>
      <c r="G26" s="20"/>
      <c r="H26" s="20"/>
      <c r="I26" s="20"/>
      <c r="J26" s="20"/>
      <c r="K26" s="20"/>
      <c r="L26" s="20"/>
      <c r="M26" s="20"/>
      <c r="N26" s="20"/>
      <c r="O26" s="20"/>
      <c r="P26" s="20"/>
      <c r="Q26" s="20"/>
      <c r="R26" s="20"/>
      <c r="S26" s="20"/>
    </row>
    <row r="27" spans="1:19" x14ac:dyDescent="0.2">
      <c r="A27" s="20"/>
      <c r="B27" s="20"/>
      <c r="C27" s="20"/>
      <c r="D27" s="20"/>
      <c r="E27" s="20"/>
      <c r="F27" s="20"/>
      <c r="G27" s="20"/>
      <c r="H27" s="20"/>
      <c r="I27" s="20"/>
      <c r="J27" s="20"/>
      <c r="K27" s="20"/>
      <c r="L27" s="20"/>
      <c r="M27" s="20"/>
      <c r="N27" s="20"/>
      <c r="O27" s="20"/>
      <c r="P27" s="20"/>
      <c r="Q27" s="20"/>
      <c r="R27" s="20"/>
      <c r="S27" s="20"/>
    </row>
    <row r="28" spans="1:19" x14ac:dyDescent="0.2">
      <c r="A28" s="20"/>
      <c r="B28" s="20"/>
      <c r="C28" s="20"/>
      <c r="D28" s="20"/>
      <c r="E28" s="20"/>
      <c r="F28" s="20"/>
      <c r="G28" s="20"/>
      <c r="H28" s="20"/>
      <c r="I28" s="20"/>
      <c r="J28" s="20"/>
      <c r="K28" s="20"/>
      <c r="L28" s="20"/>
      <c r="M28" s="20"/>
      <c r="N28" s="20"/>
      <c r="O28" s="20"/>
      <c r="P28" s="20"/>
      <c r="Q28" s="20"/>
      <c r="R28" s="20"/>
      <c r="S28" s="20"/>
    </row>
    <row r="29" spans="1:19" x14ac:dyDescent="0.2">
      <c r="A29" s="20"/>
      <c r="B29" s="20"/>
      <c r="C29" s="20"/>
      <c r="D29" s="20"/>
      <c r="E29" s="20"/>
      <c r="F29" s="20"/>
      <c r="G29" s="20"/>
      <c r="H29" s="20"/>
      <c r="I29" s="20"/>
      <c r="J29" s="20"/>
      <c r="K29" s="20"/>
      <c r="L29" s="20"/>
      <c r="M29" s="20"/>
      <c r="N29" s="20"/>
      <c r="O29" s="20"/>
      <c r="P29" s="20"/>
      <c r="Q29" s="20"/>
      <c r="R29" s="20"/>
      <c r="S29" s="20"/>
    </row>
    <row r="30" spans="1:19" x14ac:dyDescent="0.2">
      <c r="A30" s="20"/>
      <c r="B30" s="20"/>
      <c r="C30" s="20"/>
      <c r="D30" s="20"/>
      <c r="E30" s="20"/>
      <c r="F30" s="20"/>
      <c r="G30" s="20"/>
      <c r="H30" s="20"/>
      <c r="I30" s="20"/>
      <c r="J30" s="20"/>
      <c r="K30" s="20"/>
      <c r="L30" s="20"/>
      <c r="M30" s="20"/>
      <c r="N30" s="20"/>
      <c r="O30" s="20"/>
      <c r="P30" s="20"/>
      <c r="Q30" s="20"/>
      <c r="R30" s="20"/>
      <c r="S30" s="20"/>
    </row>
    <row r="31" spans="1:19" x14ac:dyDescent="0.2">
      <c r="A31" s="20"/>
      <c r="B31" s="20"/>
      <c r="C31" s="20"/>
      <c r="D31" s="20"/>
      <c r="E31" s="20"/>
      <c r="F31" s="20"/>
      <c r="G31" s="20"/>
      <c r="H31" s="20"/>
      <c r="I31" s="20"/>
      <c r="J31" s="20"/>
      <c r="K31" s="20"/>
      <c r="L31" s="20"/>
      <c r="M31" s="20"/>
      <c r="N31" s="20"/>
      <c r="O31" s="20"/>
      <c r="P31" s="20"/>
      <c r="Q31" s="20"/>
      <c r="R31" s="20"/>
      <c r="S31" s="20"/>
    </row>
    <row r="32" spans="1:19" x14ac:dyDescent="0.2">
      <c r="A32" s="20"/>
      <c r="B32" s="20"/>
      <c r="C32" s="20"/>
      <c r="D32" s="20"/>
      <c r="E32" s="20"/>
      <c r="F32" s="20"/>
      <c r="G32" s="20"/>
      <c r="H32" s="20"/>
      <c r="I32" s="20"/>
      <c r="J32" s="20"/>
      <c r="K32" s="20"/>
      <c r="L32" s="20"/>
      <c r="M32" s="20"/>
      <c r="N32" s="20"/>
      <c r="O32" s="20"/>
      <c r="P32" s="20"/>
      <c r="Q32" s="20"/>
      <c r="R32" s="20"/>
      <c r="S32" s="20"/>
    </row>
    <row r="33" spans="1:19" x14ac:dyDescent="0.2">
      <c r="A33" s="20"/>
      <c r="B33" s="20"/>
      <c r="C33" s="20"/>
      <c r="D33" s="20"/>
      <c r="E33" s="20"/>
      <c r="F33" s="20"/>
      <c r="G33" s="20"/>
      <c r="H33" s="20"/>
      <c r="I33" s="20"/>
      <c r="J33" s="20"/>
      <c r="K33" s="20"/>
      <c r="L33" s="20"/>
      <c r="M33" s="20"/>
      <c r="N33" s="20"/>
      <c r="O33" s="20"/>
      <c r="P33" s="20"/>
      <c r="Q33" s="20"/>
      <c r="R33" s="20"/>
      <c r="S33" s="20"/>
    </row>
    <row r="34" spans="1:19" x14ac:dyDescent="0.2">
      <c r="A34" s="20"/>
      <c r="B34" s="20"/>
      <c r="C34" s="20"/>
      <c r="D34" s="20"/>
      <c r="E34" s="20"/>
      <c r="F34" s="20"/>
      <c r="G34" s="20"/>
      <c r="H34" s="20"/>
      <c r="I34" s="20"/>
      <c r="J34" s="20"/>
      <c r="K34" s="20"/>
      <c r="L34" s="20"/>
      <c r="M34" s="20"/>
      <c r="N34" s="20"/>
      <c r="O34" s="20"/>
      <c r="P34" s="20"/>
      <c r="Q34" s="20"/>
      <c r="R34" s="20"/>
      <c r="S34" s="20"/>
    </row>
    <row r="35" spans="1:19" x14ac:dyDescent="0.2">
      <c r="A35" s="20"/>
      <c r="B35" s="20"/>
      <c r="C35" s="20"/>
      <c r="D35" s="20"/>
      <c r="E35" s="20"/>
      <c r="F35" s="20"/>
      <c r="G35" s="20"/>
      <c r="H35" s="20"/>
      <c r="I35" s="20"/>
      <c r="J35" s="20"/>
      <c r="K35" s="20"/>
      <c r="L35" s="20"/>
      <c r="M35" s="20"/>
      <c r="N35" s="20"/>
      <c r="O35" s="20"/>
      <c r="P35" s="20"/>
      <c r="Q35" s="20"/>
      <c r="R35" s="20"/>
      <c r="S35" s="20"/>
    </row>
    <row r="36" spans="1:19" x14ac:dyDescent="0.2">
      <c r="A36" s="20"/>
      <c r="B36" s="20"/>
      <c r="C36" s="20"/>
      <c r="D36" s="20"/>
      <c r="E36" s="20"/>
      <c r="F36" s="20"/>
      <c r="G36" s="20"/>
      <c r="H36" s="20"/>
      <c r="I36" s="20"/>
      <c r="J36" s="20"/>
      <c r="K36" s="20"/>
      <c r="L36" s="20"/>
      <c r="M36" s="20"/>
      <c r="N36" s="20"/>
      <c r="O36" s="20"/>
      <c r="P36" s="20"/>
      <c r="Q36" s="20"/>
      <c r="R36" s="20"/>
      <c r="S36" s="20"/>
    </row>
    <row r="37" spans="1:19" x14ac:dyDescent="0.2">
      <c r="A37" s="20"/>
      <c r="B37" s="20"/>
      <c r="C37" s="20"/>
      <c r="D37" s="20"/>
      <c r="E37" s="20"/>
      <c r="F37" s="20"/>
      <c r="G37" s="20"/>
      <c r="H37" s="20"/>
      <c r="I37" s="20"/>
      <c r="J37" s="20"/>
      <c r="K37" s="20"/>
      <c r="L37" s="20"/>
      <c r="M37" s="20"/>
      <c r="N37" s="20"/>
      <c r="O37" s="20"/>
      <c r="P37" s="20"/>
      <c r="Q37" s="20"/>
      <c r="R37" s="20"/>
      <c r="S37" s="20"/>
    </row>
    <row r="38" spans="1:19" x14ac:dyDescent="0.2">
      <c r="A38" s="20"/>
      <c r="B38" s="20"/>
      <c r="C38" s="20"/>
      <c r="D38" s="20"/>
      <c r="E38" s="20"/>
      <c r="F38" s="20"/>
      <c r="G38" s="20"/>
      <c r="H38" s="20"/>
      <c r="I38" s="20"/>
      <c r="J38" s="20"/>
      <c r="K38" s="20"/>
      <c r="L38" s="20"/>
      <c r="M38" s="20"/>
      <c r="N38" s="20"/>
      <c r="O38" s="20"/>
      <c r="P38" s="20"/>
      <c r="Q38" s="20"/>
      <c r="R38" s="20"/>
      <c r="S38" s="20"/>
    </row>
    <row r="39" spans="1:19" x14ac:dyDescent="0.2">
      <c r="A39" s="20"/>
      <c r="B39" s="20"/>
      <c r="C39" s="20"/>
      <c r="D39" s="20"/>
      <c r="E39" s="20"/>
      <c r="F39" s="20"/>
      <c r="G39" s="20"/>
      <c r="H39" s="20"/>
      <c r="I39" s="20"/>
      <c r="J39" s="20"/>
      <c r="K39" s="20"/>
      <c r="L39" s="20"/>
      <c r="M39" s="20"/>
      <c r="N39" s="20"/>
      <c r="O39" s="20"/>
      <c r="P39" s="20"/>
      <c r="Q39" s="20"/>
      <c r="R39" s="20"/>
      <c r="S39" s="20"/>
    </row>
    <row r="40" spans="1:19" x14ac:dyDescent="0.2">
      <c r="A40" s="20"/>
      <c r="B40" s="20"/>
      <c r="C40" s="20"/>
      <c r="D40" s="20"/>
      <c r="E40" s="20"/>
      <c r="F40" s="20"/>
      <c r="G40" s="20"/>
      <c r="H40" s="20"/>
      <c r="I40" s="20"/>
      <c r="J40" s="20"/>
      <c r="K40" s="20"/>
      <c r="L40" s="20"/>
      <c r="M40" s="20"/>
      <c r="N40" s="20"/>
      <c r="O40" s="20"/>
      <c r="P40" s="20"/>
      <c r="Q40" s="20"/>
      <c r="R40" s="20"/>
      <c r="S40" s="20"/>
    </row>
    <row r="41" spans="1:19" x14ac:dyDescent="0.2">
      <c r="A41" s="20"/>
      <c r="B41" s="20"/>
      <c r="C41" s="20"/>
      <c r="D41" s="20"/>
      <c r="E41" s="20"/>
      <c r="F41" s="20"/>
      <c r="G41" s="20"/>
      <c r="H41" s="20"/>
      <c r="I41" s="20"/>
      <c r="J41" s="20"/>
      <c r="K41" s="20"/>
      <c r="L41" s="20"/>
      <c r="M41" s="20"/>
      <c r="N41" s="20"/>
      <c r="O41" s="20"/>
      <c r="P41" s="20"/>
      <c r="Q41" s="20"/>
      <c r="R41" s="20"/>
      <c r="S41" s="20"/>
    </row>
    <row r="42" spans="1:19" x14ac:dyDescent="0.2">
      <c r="A42" s="20"/>
      <c r="B42" s="20"/>
      <c r="C42" s="20"/>
      <c r="D42" s="20"/>
      <c r="E42" s="20"/>
      <c r="F42" s="20"/>
      <c r="G42" s="20"/>
      <c r="H42" s="20"/>
      <c r="I42" s="20"/>
      <c r="J42" s="20"/>
      <c r="K42" s="20"/>
      <c r="L42" s="20"/>
      <c r="M42" s="20"/>
      <c r="N42" s="20"/>
      <c r="O42" s="20"/>
      <c r="P42" s="20"/>
      <c r="Q42" s="20"/>
      <c r="R42" s="20"/>
      <c r="S42" s="20"/>
    </row>
    <row r="43" spans="1:19" x14ac:dyDescent="0.2">
      <c r="A43" s="20"/>
      <c r="B43" s="20"/>
      <c r="C43" s="20"/>
      <c r="D43" s="20"/>
      <c r="E43" s="20"/>
      <c r="F43" s="20"/>
      <c r="G43" s="20"/>
      <c r="H43" s="20"/>
      <c r="I43" s="20"/>
      <c r="J43" s="20"/>
      <c r="K43" s="20"/>
      <c r="L43" s="20"/>
      <c r="M43" s="20"/>
      <c r="N43" s="20"/>
      <c r="O43" s="20"/>
      <c r="P43" s="20"/>
      <c r="Q43" s="20"/>
      <c r="R43" s="20"/>
      <c r="S43" s="20"/>
    </row>
  </sheetData>
  <sheetProtection algorithmName="SHA-512" hashValue="AJ/zJp2Ng1aUVjGq2LIrxKKWjNff82PkFS26bTE56LAUlr8scPzjdYNBcLBfMWaDpoCaMn4B4BJX5TQYDoud3g==" saltValue="1c0SEge267nwukvI1X0hVw==" spinCount="100000" scenarios="1" formatCells="0" formatColumns="0" formatRows="0" selectLockedCells="1"/>
  <mergeCells count="16">
    <mergeCell ref="F6:J6"/>
    <mergeCell ref="A16:O16"/>
    <mergeCell ref="A24:O24"/>
    <mergeCell ref="A1:O1"/>
    <mergeCell ref="A10:E10"/>
    <mergeCell ref="F10:J10"/>
    <mergeCell ref="A13:O13"/>
    <mergeCell ref="A15:O15"/>
    <mergeCell ref="A14:O14"/>
    <mergeCell ref="D18:F18"/>
    <mergeCell ref="D19:F19"/>
    <mergeCell ref="D20:F20"/>
    <mergeCell ref="D21:F21"/>
    <mergeCell ref="A6:E6"/>
    <mergeCell ref="A11:E11"/>
    <mergeCell ref="F11:J11"/>
  </mergeCells>
  <printOptions horizontalCentered="1" verticalCentered="1"/>
  <pageMargins left="0.23622047244094491" right="0.23622047244094491" top="0.74803149606299213" bottom="0.74803149606299213" header="0.31496062992125984" footer="0.31496062992125984"/>
  <pageSetup paperSize="9" scale="57" orientation="landscape" r:id="rId1"/>
  <headerFooter>
    <oddFooter>&amp;L&amp;A&amp;R&amp;P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O15"/>
  <sheetViews>
    <sheetView view="pageBreakPreview" topLeftCell="A10" zoomScale="80" zoomScaleNormal="80" zoomScaleSheetLayoutView="80" workbookViewId="0">
      <selection activeCell="E10" sqref="E10"/>
    </sheetView>
  </sheetViews>
  <sheetFormatPr defaultColWidth="8.85546875" defaultRowHeight="15" x14ac:dyDescent="0.25"/>
  <cols>
    <col min="1" max="1" width="9.5703125" style="765" customWidth="1"/>
    <col min="2" max="2" width="76.140625" style="765" customWidth="1"/>
    <col min="3" max="3" width="18.5703125" style="765" customWidth="1"/>
    <col min="4" max="4" width="57.42578125" style="765" customWidth="1"/>
    <col min="5" max="5" width="17.140625" style="765" customWidth="1"/>
    <col min="6" max="6" width="63.5703125" style="765" customWidth="1"/>
    <col min="7" max="16384" width="8.85546875" style="765"/>
  </cols>
  <sheetData>
    <row r="1" spans="1:15" ht="25.5" customHeight="1" x14ac:dyDescent="0.35">
      <c r="A1" s="1710" t="s">
        <v>242</v>
      </c>
      <c r="B1" s="1710"/>
      <c r="C1" s="1710"/>
      <c r="D1" s="1710"/>
      <c r="E1" s="1710"/>
      <c r="F1" s="1710"/>
      <c r="G1" s="764"/>
      <c r="H1" s="764"/>
      <c r="I1" s="764"/>
      <c r="J1" s="764"/>
      <c r="K1" s="764"/>
      <c r="L1" s="764"/>
      <c r="M1" s="764"/>
      <c r="N1" s="764"/>
      <c r="O1" s="764"/>
    </row>
    <row r="3" spans="1:15" ht="39.75" customHeight="1" x14ac:dyDescent="0.25">
      <c r="A3" s="1796" t="s">
        <v>442</v>
      </c>
      <c r="B3" s="1796"/>
      <c r="C3" s="1796"/>
      <c r="D3" s="1796"/>
      <c r="E3" s="1796"/>
      <c r="F3" s="1796"/>
    </row>
    <row r="4" spans="1:15" ht="39.75" customHeight="1" x14ac:dyDescent="0.25">
      <c r="A4" s="766"/>
      <c r="B4" s="767"/>
      <c r="C4" s="1797" t="s">
        <v>70</v>
      </c>
      <c r="D4" s="1797"/>
      <c r="E4" s="1798" t="s">
        <v>102</v>
      </c>
      <c r="F4" s="1799"/>
    </row>
    <row r="5" spans="1:15" ht="42" customHeight="1" x14ac:dyDescent="0.25">
      <c r="A5" s="768" t="s">
        <v>113</v>
      </c>
      <c r="B5" s="769" t="s">
        <v>264</v>
      </c>
      <c r="C5" s="770" t="s">
        <v>263</v>
      </c>
      <c r="D5" s="770" t="s">
        <v>27</v>
      </c>
      <c r="E5" s="771" t="s">
        <v>71</v>
      </c>
      <c r="F5" s="772" t="s">
        <v>27</v>
      </c>
    </row>
    <row r="6" spans="1:15" ht="31.5" customHeight="1" x14ac:dyDescent="0.25">
      <c r="A6" s="773">
        <v>1</v>
      </c>
      <c r="B6" s="774" t="s">
        <v>262</v>
      </c>
      <c r="C6" s="960"/>
      <c r="D6" s="961"/>
      <c r="E6" s="962"/>
      <c r="F6" s="963"/>
    </row>
    <row r="7" spans="1:15" ht="27" customHeight="1" x14ac:dyDescent="0.25">
      <c r="A7" s="773">
        <v>2</v>
      </c>
      <c r="B7" s="774" t="s">
        <v>261</v>
      </c>
      <c r="C7" s="962" t="s">
        <v>1690</v>
      </c>
      <c r="D7" s="963" t="s">
        <v>1691</v>
      </c>
      <c r="E7" s="962"/>
      <c r="F7" s="963"/>
    </row>
    <row r="8" spans="1:15" ht="33" customHeight="1" x14ac:dyDescent="0.25">
      <c r="A8" s="773">
        <v>3</v>
      </c>
      <c r="B8" s="774" t="s">
        <v>260</v>
      </c>
      <c r="C8" s="962" t="s">
        <v>1690</v>
      </c>
      <c r="D8" s="963" t="s">
        <v>1692</v>
      </c>
      <c r="E8" s="962"/>
      <c r="F8" s="963"/>
    </row>
    <row r="9" spans="1:15" s="777" customFormat="1" ht="48" customHeight="1" x14ac:dyDescent="0.25">
      <c r="A9" s="775">
        <v>4</v>
      </c>
      <c r="B9" s="776" t="s">
        <v>259</v>
      </c>
      <c r="C9" s="960"/>
      <c r="D9" s="961"/>
      <c r="E9" s="962"/>
      <c r="F9" s="964"/>
    </row>
    <row r="10" spans="1:15" ht="63" customHeight="1" x14ac:dyDescent="0.25">
      <c r="A10" s="773">
        <v>5</v>
      </c>
      <c r="B10" s="774" t="s">
        <v>258</v>
      </c>
      <c r="C10" s="965"/>
      <c r="D10" s="961"/>
      <c r="E10" s="962"/>
      <c r="F10" s="963"/>
    </row>
    <row r="11" spans="1:15" ht="37.5" customHeight="1" x14ac:dyDescent="0.25">
      <c r="A11" s="773">
        <v>6</v>
      </c>
      <c r="B11" s="774" t="s">
        <v>257</v>
      </c>
      <c r="C11" s="962" t="s">
        <v>1690</v>
      </c>
      <c r="D11" s="963" t="s">
        <v>1693</v>
      </c>
      <c r="E11" s="962"/>
      <c r="F11" s="963"/>
    </row>
    <row r="12" spans="1:15" ht="37.5" customHeight="1" x14ac:dyDescent="0.25">
      <c r="A12" s="773">
        <v>7</v>
      </c>
      <c r="B12" s="774" t="s">
        <v>256</v>
      </c>
      <c r="C12" s="960"/>
      <c r="D12" s="961"/>
      <c r="E12" s="962"/>
      <c r="F12" s="963"/>
    </row>
    <row r="13" spans="1:15" ht="41.25" customHeight="1" x14ac:dyDescent="0.25">
      <c r="A13" s="773">
        <v>8</v>
      </c>
      <c r="B13" s="774" t="s">
        <v>255</v>
      </c>
      <c r="C13" s="962" t="s">
        <v>1690</v>
      </c>
      <c r="D13" s="963" t="s">
        <v>1694</v>
      </c>
      <c r="E13" s="962"/>
      <c r="F13" s="963"/>
    </row>
    <row r="14" spans="1:15" ht="36.75" customHeight="1" x14ac:dyDescent="0.25">
      <c r="A14" s="773">
        <v>9</v>
      </c>
      <c r="B14" s="774" t="s">
        <v>254</v>
      </c>
      <c r="C14" s="966"/>
      <c r="D14" s="963" t="s">
        <v>1695</v>
      </c>
      <c r="E14" s="962"/>
      <c r="F14" s="963"/>
    </row>
    <row r="15" spans="1:15" ht="30" customHeight="1" x14ac:dyDescent="0.25">
      <c r="A15" s="773">
        <v>10</v>
      </c>
      <c r="B15" s="774" t="s">
        <v>253</v>
      </c>
      <c r="C15" s="962" t="s">
        <v>1690</v>
      </c>
      <c r="D15" s="963" t="s">
        <v>1693</v>
      </c>
      <c r="E15" s="962"/>
      <c r="F15" s="963"/>
    </row>
  </sheetData>
  <sheetProtection algorithmName="SHA-512" hashValue="i3TYCdsURDYEb6sHkzn2G7qzSaJWG5WrLgBrp1ElscQE96V+qf6GV9ryATOvaWfHiHgeQL8eAv929vlAK0bINg==" saltValue="jeyJODlKKToWgbdlSHEhGA==" spinCount="100000" sheet="1" objects="1" scenarios="1"/>
  <mergeCells count="4">
    <mergeCell ref="A1:F1"/>
    <mergeCell ref="A3:F3"/>
    <mergeCell ref="C4:D4"/>
    <mergeCell ref="E4:F4"/>
  </mergeCells>
  <dataValidations count="1">
    <dataValidation type="list" allowBlank="1" showInputMessage="1" showErrorMessage="1" sqref="E6:E15 C7:C8 C11 C15 C13">
      <formula1>"YES,NO"</formula1>
    </dataValidation>
  </dataValidations>
  <pageMargins left="0.7" right="0.7" top="0.75" bottom="0.75" header="0.3" footer="0.3"/>
  <pageSetup paperSize="9" scale="36" orientation="portrait" r:id="rId1"/>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8"/>
  <dimension ref="A1:CL158"/>
  <sheetViews>
    <sheetView workbookViewId="0"/>
  </sheetViews>
  <sheetFormatPr defaultRowHeight="12.75" x14ac:dyDescent="0.2"/>
  <sheetData>
    <row r="1" spans="1:90" x14ac:dyDescent="0.2">
      <c r="A1" t="s">
        <v>617</v>
      </c>
      <c r="B1" t="s">
        <v>618</v>
      </c>
      <c r="Y1" t="s">
        <v>926</v>
      </c>
      <c r="Z1" t="s">
        <v>927</v>
      </c>
      <c r="AA1" t="s">
        <v>619</v>
      </c>
      <c r="AB1" t="s">
        <v>777</v>
      </c>
      <c r="AC1" t="s">
        <v>779</v>
      </c>
      <c r="AD1" t="s">
        <v>780</v>
      </c>
      <c r="AE1" t="s">
        <v>781</v>
      </c>
      <c r="AF1" t="s">
        <v>782</v>
      </c>
      <c r="AG1" t="s">
        <v>784</v>
      </c>
      <c r="AH1" t="s">
        <v>790</v>
      </c>
      <c r="AI1" t="s">
        <v>791</v>
      </c>
      <c r="AJ1" t="s">
        <v>796</v>
      </c>
      <c r="AK1" t="s">
        <v>799</v>
      </c>
      <c r="AL1" t="s">
        <v>801</v>
      </c>
      <c r="AM1" t="s">
        <v>802</v>
      </c>
      <c r="AN1" t="s">
        <v>803</v>
      </c>
      <c r="AO1" t="s">
        <v>804</v>
      </c>
      <c r="AP1" t="s">
        <v>805</v>
      </c>
      <c r="AQ1" t="s">
        <v>806</v>
      </c>
      <c r="AR1" t="s">
        <v>807</v>
      </c>
      <c r="AS1" t="s">
        <v>809</v>
      </c>
      <c r="AT1" t="s">
        <v>810</v>
      </c>
      <c r="AU1" t="s">
        <v>811</v>
      </c>
      <c r="AV1" t="s">
        <v>812</v>
      </c>
      <c r="AW1" t="s">
        <v>813</v>
      </c>
      <c r="AX1" t="s">
        <v>814</v>
      </c>
      <c r="AY1" t="s">
        <v>815</v>
      </c>
      <c r="AZ1" t="s">
        <v>816</v>
      </c>
      <c r="BA1" t="s">
        <v>817</v>
      </c>
      <c r="BB1" t="s">
        <v>818</v>
      </c>
      <c r="BC1" t="s">
        <v>819</v>
      </c>
      <c r="BD1" t="s">
        <v>844</v>
      </c>
      <c r="BE1" t="s">
        <v>848</v>
      </c>
      <c r="BF1" t="s">
        <v>849</v>
      </c>
      <c r="BG1" t="s">
        <v>850</v>
      </c>
      <c r="BH1" t="s">
        <v>851</v>
      </c>
      <c r="BI1" t="s">
        <v>883</v>
      </c>
      <c r="BJ1" t="s">
        <v>884</v>
      </c>
      <c r="BK1" t="s">
        <v>886</v>
      </c>
      <c r="BL1" t="s">
        <v>887</v>
      </c>
      <c r="BM1" t="s">
        <v>888</v>
      </c>
      <c r="BN1" t="s">
        <v>889</v>
      </c>
      <c r="BO1" t="s">
        <v>890</v>
      </c>
      <c r="BP1" t="s">
        <v>891</v>
      </c>
      <c r="BQ1" t="s">
        <v>892</v>
      </c>
      <c r="BR1" t="s">
        <v>893</v>
      </c>
      <c r="BS1" t="s">
        <v>894</v>
      </c>
      <c r="BT1" t="s">
        <v>895</v>
      </c>
      <c r="BU1" t="s">
        <v>896</v>
      </c>
      <c r="BV1" t="s">
        <v>897</v>
      </c>
      <c r="BW1" t="s">
        <v>898</v>
      </c>
      <c r="BX1" t="s">
        <v>899</v>
      </c>
      <c r="BY1" t="s">
        <v>900</v>
      </c>
      <c r="BZ1" t="s">
        <v>902</v>
      </c>
      <c r="CA1" t="s">
        <v>904</v>
      </c>
      <c r="CB1" t="s">
        <v>905</v>
      </c>
      <c r="CC1" t="s">
        <v>906</v>
      </c>
      <c r="CD1" t="s">
        <v>907</v>
      </c>
      <c r="CE1" t="s">
        <v>908</v>
      </c>
      <c r="CF1" t="s">
        <v>909</v>
      </c>
      <c r="CG1" t="s">
        <v>910</v>
      </c>
      <c r="CH1" t="s">
        <v>911</v>
      </c>
      <c r="CI1" t="s">
        <v>912</v>
      </c>
      <c r="CJ1" t="s">
        <v>913</v>
      </c>
      <c r="CK1" t="s">
        <v>914</v>
      </c>
      <c r="CL1" t="s">
        <v>922</v>
      </c>
    </row>
    <row r="2" spans="1:90" x14ac:dyDescent="0.2">
      <c r="Y2" s="1173" t="s">
        <v>928</v>
      </c>
      <c r="Z2" s="1173" t="s">
        <v>929</v>
      </c>
      <c r="AA2" s="1173" t="s">
        <v>620</v>
      </c>
      <c r="AB2" s="1173" t="s">
        <v>5</v>
      </c>
      <c r="AC2" s="1173" t="s">
        <v>5</v>
      </c>
      <c r="AD2" s="1173" t="s">
        <v>5</v>
      </c>
      <c r="AE2" s="1173" t="s">
        <v>5</v>
      </c>
      <c r="AF2" s="1173" t="s">
        <v>5</v>
      </c>
      <c r="AG2" s="1173" t="s">
        <v>785</v>
      </c>
      <c r="AH2" s="1173" t="s">
        <v>785</v>
      </c>
      <c r="AI2" s="1173" t="s">
        <v>792</v>
      </c>
      <c r="AJ2" s="1173" t="s">
        <v>426</v>
      </c>
      <c r="AK2" s="1173" t="s">
        <v>7</v>
      </c>
      <c r="AL2" s="1173" t="s">
        <v>7</v>
      </c>
      <c r="AM2" s="1173" t="s">
        <v>7</v>
      </c>
      <c r="AN2" s="1173" t="s">
        <v>7</v>
      </c>
      <c r="AO2" s="1173" t="s">
        <v>7</v>
      </c>
      <c r="AP2" s="1173" t="s">
        <v>7</v>
      </c>
      <c r="AQ2" s="1173" t="s">
        <v>409</v>
      </c>
      <c r="AR2" s="1173" t="s">
        <v>409</v>
      </c>
      <c r="AS2" s="1173" t="s">
        <v>409</v>
      </c>
      <c r="AT2" s="1173" t="s">
        <v>409</v>
      </c>
      <c r="AU2" s="1173" t="s">
        <v>409</v>
      </c>
      <c r="AV2" s="1173" t="s">
        <v>409</v>
      </c>
      <c r="AW2" s="1173" t="s">
        <v>409</v>
      </c>
      <c r="AX2" s="1173" t="s">
        <v>409</v>
      </c>
      <c r="AY2" s="1173" t="s">
        <v>409</v>
      </c>
      <c r="AZ2" s="1173" t="s">
        <v>409</v>
      </c>
      <c r="BA2" s="1173" t="s">
        <v>409</v>
      </c>
      <c r="BB2" s="1173" t="s">
        <v>409</v>
      </c>
      <c r="BC2" s="1173" t="s">
        <v>820</v>
      </c>
      <c r="BD2" s="1173" t="s">
        <v>845</v>
      </c>
      <c r="BE2" s="1173" t="s">
        <v>820</v>
      </c>
      <c r="BF2" s="1173" t="s">
        <v>820</v>
      </c>
      <c r="BG2" s="1173" t="s">
        <v>820</v>
      </c>
      <c r="BH2" s="1173" t="s">
        <v>852</v>
      </c>
      <c r="BI2" s="1173" t="s">
        <v>852</v>
      </c>
      <c r="BJ2" s="1173" t="s">
        <v>5</v>
      </c>
      <c r="BK2" s="1173" t="s">
        <v>820</v>
      </c>
      <c r="BL2" s="1173" t="s">
        <v>852</v>
      </c>
      <c r="BM2" s="1173" t="s">
        <v>852</v>
      </c>
      <c r="BN2" s="1173" t="s">
        <v>820</v>
      </c>
      <c r="BO2" s="1173" t="s">
        <v>845</v>
      </c>
      <c r="BP2" s="1173" t="s">
        <v>820</v>
      </c>
      <c r="BQ2" s="1173" t="s">
        <v>820</v>
      </c>
      <c r="BR2" s="1173" t="s">
        <v>820</v>
      </c>
      <c r="BS2" s="1173" t="s">
        <v>852</v>
      </c>
      <c r="BT2" s="1173" t="s">
        <v>852</v>
      </c>
      <c r="BU2" s="1173" t="s">
        <v>5</v>
      </c>
      <c r="BV2" s="1173" t="s">
        <v>820</v>
      </c>
      <c r="BW2" s="1173" t="s">
        <v>852</v>
      </c>
      <c r="BX2" s="1173" t="s">
        <v>852</v>
      </c>
      <c r="BY2" s="1173" t="s">
        <v>901</v>
      </c>
      <c r="BZ2" s="1173" t="s">
        <v>939</v>
      </c>
      <c r="CA2" s="1173" t="s">
        <v>820</v>
      </c>
      <c r="CB2" s="1173" t="s">
        <v>845</v>
      </c>
      <c r="CC2" s="1173" t="s">
        <v>852</v>
      </c>
      <c r="CD2" s="1173" t="s">
        <v>852</v>
      </c>
      <c r="CE2" s="1173" t="s">
        <v>5</v>
      </c>
      <c r="CF2" s="1173" t="s">
        <v>820</v>
      </c>
      <c r="CG2" s="1173" t="s">
        <v>852</v>
      </c>
      <c r="CH2" s="1173" t="s">
        <v>852</v>
      </c>
      <c r="CI2" s="1173" t="s">
        <v>198</v>
      </c>
      <c r="CJ2" s="1173" t="s">
        <v>198</v>
      </c>
      <c r="CK2" s="1173" t="s">
        <v>915</v>
      </c>
      <c r="CL2" s="1173" t="s">
        <v>923</v>
      </c>
    </row>
    <row r="3" spans="1:90" x14ac:dyDescent="0.2">
      <c r="Y3" s="1173" t="s">
        <v>930</v>
      </c>
      <c r="Z3" s="1173" t="s">
        <v>931</v>
      </c>
      <c r="AA3" s="1173" t="s">
        <v>621</v>
      </c>
      <c r="AB3" s="1173" t="s">
        <v>6</v>
      </c>
      <c r="AC3" s="1173" t="s">
        <v>6</v>
      </c>
      <c r="AD3" s="1173" t="s">
        <v>6</v>
      </c>
      <c r="AE3" s="1173" t="s">
        <v>6</v>
      </c>
      <c r="AF3" s="1173" t="s">
        <v>6</v>
      </c>
      <c r="AG3" s="1173" t="s">
        <v>786</v>
      </c>
      <c r="AH3" s="1173" t="s">
        <v>786</v>
      </c>
      <c r="AI3" s="1173" t="s">
        <v>793</v>
      </c>
      <c r="AJ3" s="1173" t="s">
        <v>797</v>
      </c>
      <c r="AK3" s="1173" t="s">
        <v>8</v>
      </c>
      <c r="AL3" s="1173" t="s">
        <v>8</v>
      </c>
      <c r="AM3" s="1173" t="s">
        <v>8</v>
      </c>
      <c r="AN3" s="1173" t="s">
        <v>8</v>
      </c>
      <c r="AO3" s="1173" t="s">
        <v>8</v>
      </c>
      <c r="AP3" s="1173" t="s">
        <v>8</v>
      </c>
      <c r="AQ3" s="1173" t="s">
        <v>412</v>
      </c>
      <c r="AR3" s="1173" t="s">
        <v>412</v>
      </c>
      <c r="AS3" s="1173" t="s">
        <v>412</v>
      </c>
      <c r="AT3" s="1173" t="s">
        <v>412</v>
      </c>
      <c r="AU3" s="1173" t="s">
        <v>412</v>
      </c>
      <c r="AV3" s="1173" t="s">
        <v>412</v>
      </c>
      <c r="AW3" s="1173" t="s">
        <v>412</v>
      </c>
      <c r="AX3" s="1173" t="s">
        <v>412</v>
      </c>
      <c r="AY3" s="1173" t="s">
        <v>412</v>
      </c>
      <c r="AZ3" s="1173" t="s">
        <v>412</v>
      </c>
      <c r="BA3" s="1173" t="s">
        <v>412</v>
      </c>
      <c r="BB3" s="1173" t="s">
        <v>412</v>
      </c>
      <c r="BC3" s="1173" t="s">
        <v>821</v>
      </c>
      <c r="BD3" s="1173" t="s">
        <v>846</v>
      </c>
      <c r="BE3" s="1173" t="s">
        <v>821</v>
      </c>
      <c r="BF3" s="1173" t="s">
        <v>821</v>
      </c>
      <c r="BG3" s="1173" t="s">
        <v>821</v>
      </c>
      <c r="BH3" s="1173" t="s">
        <v>853</v>
      </c>
      <c r="BI3" s="1173" t="s">
        <v>853</v>
      </c>
      <c r="BJ3" s="1173" t="s">
        <v>6</v>
      </c>
      <c r="BK3" s="1173" t="s">
        <v>821</v>
      </c>
      <c r="BL3" s="1173" t="s">
        <v>853</v>
      </c>
      <c r="BM3" s="1173" t="s">
        <v>853</v>
      </c>
      <c r="BN3" s="1173" t="s">
        <v>821</v>
      </c>
      <c r="BO3" s="1173" t="s">
        <v>846</v>
      </c>
      <c r="BP3" s="1173" t="s">
        <v>821</v>
      </c>
      <c r="BQ3" s="1173" t="s">
        <v>821</v>
      </c>
      <c r="BR3" s="1173" t="s">
        <v>821</v>
      </c>
      <c r="BS3" s="1173" t="s">
        <v>853</v>
      </c>
      <c r="BT3" s="1173" t="s">
        <v>853</v>
      </c>
      <c r="BU3" s="1173" t="s">
        <v>6</v>
      </c>
      <c r="BV3" s="1173" t="s">
        <v>821</v>
      </c>
      <c r="BW3" s="1173" t="s">
        <v>853</v>
      </c>
      <c r="BX3" s="1173" t="s">
        <v>853</v>
      </c>
      <c r="BY3" s="1173" t="s">
        <v>938</v>
      </c>
      <c r="BZ3" s="1173" t="s">
        <v>940</v>
      </c>
      <c r="CA3" s="1173" t="s">
        <v>821</v>
      </c>
      <c r="CB3" s="1173" t="s">
        <v>846</v>
      </c>
      <c r="CC3" s="1173" t="s">
        <v>853</v>
      </c>
      <c r="CD3" s="1173" t="s">
        <v>853</v>
      </c>
      <c r="CE3" s="1173" t="s">
        <v>6</v>
      </c>
      <c r="CF3" s="1173" t="s">
        <v>821</v>
      </c>
      <c r="CG3" s="1173" t="s">
        <v>853</v>
      </c>
      <c r="CH3" s="1173" t="s">
        <v>853</v>
      </c>
      <c r="CI3" s="1173" t="s">
        <v>199</v>
      </c>
      <c r="CJ3" s="1173" t="s">
        <v>199</v>
      </c>
      <c r="CK3" s="1173" t="s">
        <v>916</v>
      </c>
      <c r="CL3" s="1173" t="s">
        <v>924</v>
      </c>
    </row>
    <row r="4" spans="1:90" x14ac:dyDescent="0.2">
      <c r="Y4" s="1173" t="s">
        <v>350</v>
      </c>
      <c r="Z4" s="1173" t="s">
        <v>932</v>
      </c>
      <c r="AA4" s="1173" t="s">
        <v>622</v>
      </c>
      <c r="AB4" s="1173" t="s">
        <v>778</v>
      </c>
      <c r="AC4" s="1173" t="s">
        <v>778</v>
      </c>
      <c r="AD4" s="1173" t="s">
        <v>778</v>
      </c>
      <c r="AE4" s="1173" t="s">
        <v>778</v>
      </c>
      <c r="AF4" s="1173" t="s">
        <v>783</v>
      </c>
      <c r="AG4" s="1173" t="s">
        <v>787</v>
      </c>
      <c r="AH4" s="1173" t="s">
        <v>787</v>
      </c>
      <c r="AI4" s="1173" t="s">
        <v>794</v>
      </c>
      <c r="AJ4" s="1173" t="s">
        <v>798</v>
      </c>
      <c r="AK4" s="1173" t="s">
        <v>9</v>
      </c>
      <c r="AL4" s="1173" t="s">
        <v>9</v>
      </c>
      <c r="AM4" s="1173" t="s">
        <v>9</v>
      </c>
      <c r="AN4" s="1173" t="s">
        <v>9</v>
      </c>
      <c r="AO4" s="1173" t="s">
        <v>9</v>
      </c>
      <c r="AP4" s="1173" t="s">
        <v>9</v>
      </c>
      <c r="AQ4" s="1173" t="s">
        <v>198</v>
      </c>
      <c r="AR4" s="1173" t="s">
        <v>198</v>
      </c>
      <c r="AS4" s="1173" t="s">
        <v>198</v>
      </c>
      <c r="AT4" s="1173" t="s">
        <v>198</v>
      </c>
      <c r="AU4" s="1173" t="s">
        <v>198</v>
      </c>
      <c r="AV4" s="1173" t="s">
        <v>198</v>
      </c>
      <c r="AW4" s="1173" t="s">
        <v>198</v>
      </c>
      <c r="AX4" s="1173" t="s">
        <v>198</v>
      </c>
      <c r="AY4" s="1173" t="s">
        <v>198</v>
      </c>
      <c r="AZ4" s="1173" t="s">
        <v>198</v>
      </c>
      <c r="BA4" s="1173" t="s">
        <v>198</v>
      </c>
      <c r="BB4" s="1173" t="s">
        <v>198</v>
      </c>
      <c r="BC4" s="1173" t="s">
        <v>822</v>
      </c>
      <c r="BD4" s="1173" t="s">
        <v>847</v>
      </c>
      <c r="BE4" s="1173" t="s">
        <v>822</v>
      </c>
      <c r="BF4" s="1173" t="s">
        <v>822</v>
      </c>
      <c r="BG4" s="1173" t="s">
        <v>822</v>
      </c>
      <c r="BH4" s="1173" t="s">
        <v>854</v>
      </c>
      <c r="BI4" s="1173" t="s">
        <v>854</v>
      </c>
      <c r="BJ4" s="1173" t="s">
        <v>885</v>
      </c>
      <c r="BK4" s="1173" t="s">
        <v>822</v>
      </c>
      <c r="BL4" s="1173" t="s">
        <v>854</v>
      </c>
      <c r="BM4" s="1173" t="s">
        <v>854</v>
      </c>
      <c r="BN4" s="1173" t="s">
        <v>822</v>
      </c>
      <c r="BO4" s="1173" t="s">
        <v>847</v>
      </c>
      <c r="BP4" s="1173" t="s">
        <v>822</v>
      </c>
      <c r="BQ4" s="1173" t="s">
        <v>822</v>
      </c>
      <c r="BR4" s="1173" t="s">
        <v>822</v>
      </c>
      <c r="BS4" s="1173" t="s">
        <v>854</v>
      </c>
      <c r="BT4" s="1173" t="s">
        <v>854</v>
      </c>
      <c r="BU4" s="1173" t="s">
        <v>885</v>
      </c>
      <c r="BV4" s="1173" t="s">
        <v>822</v>
      </c>
      <c r="BW4" s="1173" t="s">
        <v>854</v>
      </c>
      <c r="BX4" s="1173" t="s">
        <v>854</v>
      </c>
      <c r="BZ4" s="1173" t="s">
        <v>903</v>
      </c>
      <c r="CA4" s="1173" t="s">
        <v>822</v>
      </c>
      <c r="CB4" s="1173" t="s">
        <v>847</v>
      </c>
      <c r="CC4" s="1173" t="s">
        <v>854</v>
      </c>
      <c r="CD4" s="1173" t="s">
        <v>854</v>
      </c>
      <c r="CE4" s="1173" t="s">
        <v>885</v>
      </c>
      <c r="CF4" s="1173" t="s">
        <v>822</v>
      </c>
      <c r="CG4" s="1173" t="s">
        <v>854</v>
      </c>
      <c r="CH4" s="1173" t="s">
        <v>854</v>
      </c>
      <c r="CI4" s="1173" t="s">
        <v>200</v>
      </c>
      <c r="CJ4" s="1173" t="s">
        <v>200</v>
      </c>
      <c r="CK4" s="1173" t="s">
        <v>917</v>
      </c>
      <c r="CL4" s="1173" t="s">
        <v>925</v>
      </c>
    </row>
    <row r="5" spans="1:90" x14ac:dyDescent="0.2">
      <c r="Y5" s="1173" t="s">
        <v>933</v>
      </c>
      <c r="Z5" s="1173" t="s">
        <v>934</v>
      </c>
      <c r="AA5" s="1173" t="s">
        <v>623</v>
      </c>
      <c r="AG5" s="1173" t="s">
        <v>788</v>
      </c>
      <c r="AH5" s="1173" t="s">
        <v>788</v>
      </c>
      <c r="AI5" s="1173" t="s">
        <v>795</v>
      </c>
      <c r="AJ5" s="1173" t="s">
        <v>936</v>
      </c>
      <c r="AK5" s="1173" t="s">
        <v>10</v>
      </c>
      <c r="AL5" s="1173" t="s">
        <v>10</v>
      </c>
      <c r="AM5" s="1173" t="s">
        <v>10</v>
      </c>
      <c r="AN5" s="1173" t="s">
        <v>10</v>
      </c>
      <c r="AO5" s="1173" t="s">
        <v>10</v>
      </c>
      <c r="AP5" s="1173" t="s">
        <v>10</v>
      </c>
      <c r="AQ5" s="1173" t="s">
        <v>413</v>
      </c>
      <c r="AR5" s="1173" t="s">
        <v>413</v>
      </c>
      <c r="AS5" s="1173" t="s">
        <v>413</v>
      </c>
      <c r="AT5" s="1173" t="s">
        <v>413</v>
      </c>
      <c r="AU5" s="1173" t="s">
        <v>413</v>
      </c>
      <c r="AV5" s="1173" t="s">
        <v>413</v>
      </c>
      <c r="AW5" s="1173" t="s">
        <v>413</v>
      </c>
      <c r="AX5" s="1173" t="s">
        <v>413</v>
      </c>
      <c r="AY5" s="1173" t="s">
        <v>413</v>
      </c>
      <c r="AZ5" s="1173" t="s">
        <v>413</v>
      </c>
      <c r="BA5" s="1173" t="s">
        <v>413</v>
      </c>
      <c r="BB5" s="1173" t="s">
        <v>413</v>
      </c>
      <c r="BC5" s="1173" t="s">
        <v>823</v>
      </c>
      <c r="BE5" s="1173" t="s">
        <v>823</v>
      </c>
      <c r="BF5" s="1173" t="s">
        <v>823</v>
      </c>
      <c r="BG5" s="1173" t="s">
        <v>823</v>
      </c>
      <c r="BH5" s="1173" t="s">
        <v>855</v>
      </c>
      <c r="BI5" s="1173" t="s">
        <v>855</v>
      </c>
      <c r="BK5" s="1173" t="s">
        <v>823</v>
      </c>
      <c r="BL5" s="1173" t="s">
        <v>855</v>
      </c>
      <c r="BM5" s="1173" t="s">
        <v>855</v>
      </c>
      <c r="BN5" s="1173" t="s">
        <v>823</v>
      </c>
      <c r="BP5" s="1173" t="s">
        <v>823</v>
      </c>
      <c r="BQ5" s="1173" t="s">
        <v>823</v>
      </c>
      <c r="BR5" s="1173" t="s">
        <v>823</v>
      </c>
      <c r="BS5" s="1173" t="s">
        <v>855</v>
      </c>
      <c r="BT5" s="1173" t="s">
        <v>855</v>
      </c>
      <c r="BV5" s="1173" t="s">
        <v>823</v>
      </c>
      <c r="BW5" s="1173" t="s">
        <v>855</v>
      </c>
      <c r="BX5" s="1173" t="s">
        <v>855</v>
      </c>
      <c r="CA5" s="1173" t="s">
        <v>823</v>
      </c>
      <c r="CC5" s="1173" t="s">
        <v>855</v>
      </c>
      <c r="CD5" s="1173" t="s">
        <v>855</v>
      </c>
      <c r="CF5" s="1173" t="s">
        <v>823</v>
      </c>
      <c r="CG5" s="1173" t="s">
        <v>855</v>
      </c>
      <c r="CH5" s="1173" t="s">
        <v>855</v>
      </c>
      <c r="CI5" s="1173" t="s">
        <v>201</v>
      </c>
      <c r="CJ5" s="1173" t="s">
        <v>201</v>
      </c>
      <c r="CK5" s="1173" t="s">
        <v>918</v>
      </c>
    </row>
    <row r="6" spans="1:90" x14ac:dyDescent="0.2">
      <c r="Y6" s="1173" t="s">
        <v>935</v>
      </c>
      <c r="Z6" s="1173" t="s">
        <v>935</v>
      </c>
      <c r="AA6" s="1173" t="s">
        <v>624</v>
      </c>
      <c r="AG6" s="1173" t="s">
        <v>789</v>
      </c>
      <c r="AH6" s="1173" t="s">
        <v>789</v>
      </c>
      <c r="AJ6" s="1173" t="s">
        <v>937</v>
      </c>
      <c r="AK6" s="1173" t="s">
        <v>800</v>
      </c>
      <c r="AL6" s="1173" t="s">
        <v>800</v>
      </c>
      <c r="AM6" s="1173" t="s">
        <v>800</v>
      </c>
      <c r="AN6" s="1173" t="s">
        <v>800</v>
      </c>
      <c r="AO6" s="1173" t="s">
        <v>800</v>
      </c>
      <c r="AP6" s="1173" t="s">
        <v>800</v>
      </c>
      <c r="AR6" s="1173" t="s">
        <v>808</v>
      </c>
      <c r="AS6" s="1173" t="s">
        <v>808</v>
      </c>
      <c r="AT6" s="1173" t="s">
        <v>808</v>
      </c>
      <c r="AU6" s="1173" t="s">
        <v>808</v>
      </c>
      <c r="AV6" s="1173" t="s">
        <v>808</v>
      </c>
      <c r="AX6" s="1173" t="s">
        <v>808</v>
      </c>
      <c r="AY6" s="1173" t="s">
        <v>808</v>
      </c>
      <c r="AZ6" s="1173" t="s">
        <v>808</v>
      </c>
      <c r="BA6" s="1173" t="s">
        <v>808</v>
      </c>
      <c r="BB6" s="1173" t="s">
        <v>808</v>
      </c>
      <c r="BC6" s="1173" t="s">
        <v>824</v>
      </c>
      <c r="BE6" s="1173" t="s">
        <v>824</v>
      </c>
      <c r="BF6" s="1173" t="s">
        <v>824</v>
      </c>
      <c r="BG6" s="1173" t="s">
        <v>824</v>
      </c>
      <c r="BH6" s="1173" t="s">
        <v>856</v>
      </c>
      <c r="BI6" s="1173" t="s">
        <v>856</v>
      </c>
      <c r="BK6" s="1173" t="s">
        <v>824</v>
      </c>
      <c r="BL6" s="1173" t="s">
        <v>856</v>
      </c>
      <c r="BM6" s="1173" t="s">
        <v>856</v>
      </c>
      <c r="BN6" s="1173" t="s">
        <v>824</v>
      </c>
      <c r="BP6" s="1173" t="s">
        <v>824</v>
      </c>
      <c r="BQ6" s="1173" t="s">
        <v>824</v>
      </c>
      <c r="BR6" s="1173" t="s">
        <v>824</v>
      </c>
      <c r="BS6" s="1173" t="s">
        <v>856</v>
      </c>
      <c r="BT6" s="1173" t="s">
        <v>856</v>
      </c>
      <c r="BV6" s="1173" t="s">
        <v>824</v>
      </c>
      <c r="BW6" s="1173" t="s">
        <v>856</v>
      </c>
      <c r="BX6" s="1173" t="s">
        <v>856</v>
      </c>
      <c r="CA6" s="1173" t="s">
        <v>824</v>
      </c>
      <c r="CC6" s="1173" t="s">
        <v>856</v>
      </c>
      <c r="CD6" s="1173" t="s">
        <v>856</v>
      </c>
      <c r="CF6" s="1173" t="s">
        <v>824</v>
      </c>
      <c r="CG6" s="1173" t="s">
        <v>856</v>
      </c>
      <c r="CH6" s="1173" t="s">
        <v>856</v>
      </c>
      <c r="CK6" s="1173" t="s">
        <v>919</v>
      </c>
    </row>
    <row r="7" spans="1:90" x14ac:dyDescent="0.2">
      <c r="Y7" s="1173" t="s">
        <v>928</v>
      </c>
      <c r="Z7" s="1173" t="s">
        <v>929</v>
      </c>
      <c r="AA7" s="1173" t="s">
        <v>625</v>
      </c>
      <c r="BC7" s="1173" t="s">
        <v>825</v>
      </c>
      <c r="BE7" s="1173" t="s">
        <v>825</v>
      </c>
      <c r="BF7" s="1173" t="s">
        <v>825</v>
      </c>
      <c r="BG7" s="1173" t="s">
        <v>825</v>
      </c>
      <c r="BH7" s="1173" t="s">
        <v>857</v>
      </c>
      <c r="BI7" s="1173" t="s">
        <v>857</v>
      </c>
      <c r="BK7" s="1173" t="s">
        <v>825</v>
      </c>
      <c r="BL7" s="1173" t="s">
        <v>857</v>
      </c>
      <c r="BM7" s="1173" t="s">
        <v>857</v>
      </c>
      <c r="BN7" s="1173" t="s">
        <v>825</v>
      </c>
      <c r="BP7" s="1173" t="s">
        <v>825</v>
      </c>
      <c r="BQ7" s="1173" t="s">
        <v>825</v>
      </c>
      <c r="BR7" s="1173" t="s">
        <v>825</v>
      </c>
      <c r="BS7" s="1173" t="s">
        <v>857</v>
      </c>
      <c r="BT7" s="1173" t="s">
        <v>857</v>
      </c>
      <c r="BV7" s="1173" t="s">
        <v>825</v>
      </c>
      <c r="BW7" s="1173" t="s">
        <v>857</v>
      </c>
      <c r="BX7" s="1173" t="s">
        <v>857</v>
      </c>
      <c r="CA7" s="1173" t="s">
        <v>825</v>
      </c>
      <c r="CC7" s="1173" t="s">
        <v>857</v>
      </c>
      <c r="CD7" s="1173" t="s">
        <v>857</v>
      </c>
      <c r="CF7" s="1173" t="s">
        <v>825</v>
      </c>
      <c r="CG7" s="1173" t="s">
        <v>857</v>
      </c>
      <c r="CH7" s="1173" t="s">
        <v>857</v>
      </c>
      <c r="CK7" s="1173" t="s">
        <v>920</v>
      </c>
    </row>
    <row r="8" spans="1:90" x14ac:dyDescent="0.2">
      <c r="Y8" s="1173" t="s">
        <v>930</v>
      </c>
      <c r="Z8" s="1173" t="s">
        <v>931</v>
      </c>
      <c r="AA8" s="1173" t="s">
        <v>626</v>
      </c>
      <c r="BC8" s="1173" t="s">
        <v>826</v>
      </c>
      <c r="BE8" s="1173" t="s">
        <v>826</v>
      </c>
      <c r="BF8" s="1173" t="s">
        <v>826</v>
      </c>
      <c r="BG8" s="1173" t="s">
        <v>826</v>
      </c>
      <c r="BH8" s="1173" t="s">
        <v>858</v>
      </c>
      <c r="BI8" s="1173" t="s">
        <v>858</v>
      </c>
      <c r="BK8" s="1173" t="s">
        <v>826</v>
      </c>
      <c r="BL8" s="1173" t="s">
        <v>858</v>
      </c>
      <c r="BM8" s="1173" t="s">
        <v>858</v>
      </c>
      <c r="BN8" s="1173" t="s">
        <v>826</v>
      </c>
      <c r="BP8" s="1173" t="s">
        <v>826</v>
      </c>
      <c r="BQ8" s="1173" t="s">
        <v>826</v>
      </c>
      <c r="BR8" s="1173" t="s">
        <v>826</v>
      </c>
      <c r="BS8" s="1173" t="s">
        <v>858</v>
      </c>
      <c r="BT8" s="1173" t="s">
        <v>858</v>
      </c>
      <c r="BV8" s="1173" t="s">
        <v>826</v>
      </c>
      <c r="BW8" s="1173" t="s">
        <v>858</v>
      </c>
      <c r="BX8" s="1173" t="s">
        <v>858</v>
      </c>
      <c r="CA8" s="1173" t="s">
        <v>826</v>
      </c>
      <c r="CC8" s="1173" t="s">
        <v>858</v>
      </c>
      <c r="CD8" s="1173" t="s">
        <v>858</v>
      </c>
      <c r="CF8" s="1173" t="s">
        <v>826</v>
      </c>
      <c r="CG8" s="1173" t="s">
        <v>858</v>
      </c>
      <c r="CH8" s="1173" t="s">
        <v>858</v>
      </c>
      <c r="CK8" s="1173" t="s">
        <v>921</v>
      </c>
    </row>
    <row r="9" spans="1:90" x14ac:dyDescent="0.2">
      <c r="Y9" s="1173" t="s">
        <v>350</v>
      </c>
      <c r="Z9" s="1173" t="s">
        <v>932</v>
      </c>
      <c r="AA9" s="1173" t="s">
        <v>627</v>
      </c>
      <c r="BC9" s="1173" t="s">
        <v>827</v>
      </c>
      <c r="BE9" s="1173" t="s">
        <v>827</v>
      </c>
      <c r="BF9" s="1173" t="s">
        <v>827</v>
      </c>
      <c r="BG9" s="1173" t="s">
        <v>827</v>
      </c>
      <c r="BH9" s="1173" t="s">
        <v>859</v>
      </c>
      <c r="BI9" s="1173" t="s">
        <v>859</v>
      </c>
      <c r="BK9" s="1173" t="s">
        <v>827</v>
      </c>
      <c r="BL9" s="1173" t="s">
        <v>859</v>
      </c>
      <c r="BM9" s="1173" t="s">
        <v>859</v>
      </c>
      <c r="BN9" s="1173" t="s">
        <v>827</v>
      </c>
      <c r="BP9" s="1173" t="s">
        <v>827</v>
      </c>
      <c r="BQ9" s="1173" t="s">
        <v>827</v>
      </c>
      <c r="BR9" s="1173" t="s">
        <v>827</v>
      </c>
      <c r="BS9" s="1173" t="s">
        <v>859</v>
      </c>
      <c r="BT9" s="1173" t="s">
        <v>859</v>
      </c>
      <c r="BV9" s="1173" t="s">
        <v>827</v>
      </c>
      <c r="BW9" s="1173" t="s">
        <v>859</v>
      </c>
      <c r="BX9" s="1173" t="s">
        <v>859</v>
      </c>
      <c r="CA9" s="1173" t="s">
        <v>827</v>
      </c>
      <c r="CC9" s="1173" t="s">
        <v>859</v>
      </c>
      <c r="CD9" s="1173" t="s">
        <v>859</v>
      </c>
      <c r="CF9" s="1173" t="s">
        <v>827</v>
      </c>
      <c r="CG9" s="1173" t="s">
        <v>859</v>
      </c>
      <c r="CH9" s="1173" t="s">
        <v>859</v>
      </c>
      <c r="CK9" s="1173" t="s">
        <v>941</v>
      </c>
    </row>
    <row r="10" spans="1:90" x14ac:dyDescent="0.2">
      <c r="Y10" s="1173" t="s">
        <v>933</v>
      </c>
      <c r="Z10" s="1173" t="s">
        <v>934</v>
      </c>
      <c r="AA10" s="1173" t="s">
        <v>628</v>
      </c>
      <c r="BC10" s="1173" t="s">
        <v>828</v>
      </c>
      <c r="BE10" s="1173" t="s">
        <v>828</v>
      </c>
      <c r="BF10" s="1173" t="s">
        <v>828</v>
      </c>
      <c r="BG10" s="1173" t="s">
        <v>828</v>
      </c>
      <c r="BH10" s="1173" t="s">
        <v>860</v>
      </c>
      <c r="BI10" s="1173" t="s">
        <v>860</v>
      </c>
      <c r="BK10" s="1173" t="s">
        <v>828</v>
      </c>
      <c r="BL10" s="1173" t="s">
        <v>860</v>
      </c>
      <c r="BM10" s="1173" t="s">
        <v>860</v>
      </c>
      <c r="BN10" s="1173" t="s">
        <v>828</v>
      </c>
      <c r="BP10" s="1173" t="s">
        <v>828</v>
      </c>
      <c r="BQ10" s="1173" t="s">
        <v>828</v>
      </c>
      <c r="BR10" s="1173" t="s">
        <v>828</v>
      </c>
      <c r="BS10" s="1173" t="s">
        <v>860</v>
      </c>
      <c r="BT10" s="1173" t="s">
        <v>860</v>
      </c>
      <c r="BV10" s="1173" t="s">
        <v>828</v>
      </c>
      <c r="BW10" s="1173" t="s">
        <v>860</v>
      </c>
      <c r="BX10" s="1173" t="s">
        <v>860</v>
      </c>
      <c r="CA10" s="1173" t="s">
        <v>828</v>
      </c>
      <c r="CC10" s="1173" t="s">
        <v>860</v>
      </c>
      <c r="CD10" s="1173" t="s">
        <v>860</v>
      </c>
      <c r="CF10" s="1173" t="s">
        <v>828</v>
      </c>
      <c r="CG10" s="1173" t="s">
        <v>860</v>
      </c>
      <c r="CH10" s="1173" t="s">
        <v>860</v>
      </c>
      <c r="CK10" s="1173" t="s">
        <v>942</v>
      </c>
    </row>
    <row r="11" spans="1:90" x14ac:dyDescent="0.2">
      <c r="Y11" s="1173" t="s">
        <v>935</v>
      </c>
      <c r="Z11" s="1173" t="s">
        <v>935</v>
      </c>
      <c r="AA11" s="1173" t="s">
        <v>629</v>
      </c>
      <c r="BC11" s="1173" t="s">
        <v>829</v>
      </c>
      <c r="BE11" s="1173" t="s">
        <v>829</v>
      </c>
      <c r="BF11" s="1173" t="s">
        <v>829</v>
      </c>
      <c r="BG11" s="1173" t="s">
        <v>829</v>
      </c>
      <c r="BH11" s="1173" t="s">
        <v>861</v>
      </c>
      <c r="BI11" s="1173" t="s">
        <v>861</v>
      </c>
      <c r="BK11" s="1173" t="s">
        <v>829</v>
      </c>
      <c r="BL11" s="1173" t="s">
        <v>861</v>
      </c>
      <c r="BM11" s="1173" t="s">
        <v>861</v>
      </c>
      <c r="BN11" s="1173" t="s">
        <v>829</v>
      </c>
      <c r="BP11" s="1173" t="s">
        <v>829</v>
      </c>
      <c r="BQ11" s="1173" t="s">
        <v>829</v>
      </c>
      <c r="BR11" s="1173" t="s">
        <v>829</v>
      </c>
      <c r="BS11" s="1173" t="s">
        <v>861</v>
      </c>
      <c r="BT11" s="1173" t="s">
        <v>861</v>
      </c>
      <c r="BV11" s="1173" t="s">
        <v>829</v>
      </c>
      <c r="BW11" s="1173" t="s">
        <v>861</v>
      </c>
      <c r="BX11" s="1173" t="s">
        <v>861</v>
      </c>
      <c r="CA11" s="1173" t="s">
        <v>829</v>
      </c>
      <c r="CC11" s="1173" t="s">
        <v>861</v>
      </c>
      <c r="CD11" s="1173" t="s">
        <v>861</v>
      </c>
      <c r="CF11" s="1173" t="s">
        <v>829</v>
      </c>
      <c r="CG11" s="1173" t="s">
        <v>861</v>
      </c>
      <c r="CH11" s="1173" t="s">
        <v>861</v>
      </c>
      <c r="CK11" s="1173" t="s">
        <v>943</v>
      </c>
    </row>
    <row r="12" spans="1:90" x14ac:dyDescent="0.2">
      <c r="Y12" s="1173" t="s">
        <v>928</v>
      </c>
      <c r="Z12" s="1173" t="s">
        <v>929</v>
      </c>
      <c r="AA12" s="1173" t="s">
        <v>630</v>
      </c>
      <c r="BC12" s="1173" t="s">
        <v>830</v>
      </c>
      <c r="BE12" s="1173" t="s">
        <v>830</v>
      </c>
      <c r="BF12" s="1173" t="s">
        <v>830</v>
      </c>
      <c r="BG12" s="1173" t="s">
        <v>830</v>
      </c>
      <c r="BH12" s="1173" t="s">
        <v>862</v>
      </c>
      <c r="BI12" s="1173" t="s">
        <v>862</v>
      </c>
      <c r="BK12" s="1173" t="s">
        <v>830</v>
      </c>
      <c r="BL12" s="1173" t="s">
        <v>862</v>
      </c>
      <c r="BM12" s="1173" t="s">
        <v>862</v>
      </c>
      <c r="BN12" s="1173" t="s">
        <v>830</v>
      </c>
      <c r="BP12" s="1173" t="s">
        <v>830</v>
      </c>
      <c r="BQ12" s="1173" t="s">
        <v>830</v>
      </c>
      <c r="BR12" s="1173" t="s">
        <v>830</v>
      </c>
      <c r="BS12" s="1173" t="s">
        <v>862</v>
      </c>
      <c r="BT12" s="1173" t="s">
        <v>862</v>
      </c>
      <c r="BV12" s="1173" t="s">
        <v>830</v>
      </c>
      <c r="BW12" s="1173" t="s">
        <v>862</v>
      </c>
      <c r="BX12" s="1173" t="s">
        <v>862</v>
      </c>
      <c r="CA12" s="1173" t="s">
        <v>830</v>
      </c>
      <c r="CC12" s="1173" t="s">
        <v>862</v>
      </c>
      <c r="CD12" s="1173" t="s">
        <v>862</v>
      </c>
      <c r="CF12" s="1173" t="s">
        <v>830</v>
      </c>
      <c r="CG12" s="1173" t="s">
        <v>862</v>
      </c>
      <c r="CH12" s="1173" t="s">
        <v>862</v>
      </c>
      <c r="CK12" s="1173" t="s">
        <v>944</v>
      </c>
    </row>
    <row r="13" spans="1:90" x14ac:dyDescent="0.2">
      <c r="Y13" s="1173" t="s">
        <v>930</v>
      </c>
      <c r="Z13" s="1173" t="s">
        <v>931</v>
      </c>
      <c r="AA13" s="1173" t="s">
        <v>631</v>
      </c>
      <c r="BC13" s="1173" t="s">
        <v>831</v>
      </c>
      <c r="BE13" s="1173" t="s">
        <v>831</v>
      </c>
      <c r="BF13" s="1173" t="s">
        <v>831</v>
      </c>
      <c r="BG13" s="1173" t="s">
        <v>831</v>
      </c>
      <c r="BH13" s="1173" t="s">
        <v>863</v>
      </c>
      <c r="BI13" s="1173" t="s">
        <v>863</v>
      </c>
      <c r="BK13" s="1173" t="s">
        <v>831</v>
      </c>
      <c r="BL13" s="1173" t="s">
        <v>863</v>
      </c>
      <c r="BM13" s="1173" t="s">
        <v>863</v>
      </c>
      <c r="BN13" s="1173" t="s">
        <v>831</v>
      </c>
      <c r="BP13" s="1173" t="s">
        <v>831</v>
      </c>
      <c r="BQ13" s="1173" t="s">
        <v>831</v>
      </c>
      <c r="BR13" s="1173" t="s">
        <v>831</v>
      </c>
      <c r="BS13" s="1173" t="s">
        <v>863</v>
      </c>
      <c r="BT13" s="1173" t="s">
        <v>863</v>
      </c>
      <c r="BV13" s="1173" t="s">
        <v>831</v>
      </c>
      <c r="BW13" s="1173" t="s">
        <v>863</v>
      </c>
      <c r="BX13" s="1173" t="s">
        <v>863</v>
      </c>
      <c r="CA13" s="1173" t="s">
        <v>831</v>
      </c>
      <c r="CC13" s="1173" t="s">
        <v>863</v>
      </c>
      <c r="CD13" s="1173" t="s">
        <v>863</v>
      </c>
      <c r="CF13" s="1173" t="s">
        <v>831</v>
      </c>
      <c r="CG13" s="1173" t="s">
        <v>863</v>
      </c>
      <c r="CH13" s="1173" t="s">
        <v>863</v>
      </c>
      <c r="CK13" s="1173" t="s">
        <v>945</v>
      </c>
    </row>
    <row r="14" spans="1:90" x14ac:dyDescent="0.2">
      <c r="Y14" s="1173" t="s">
        <v>350</v>
      </c>
      <c r="Z14" s="1173" t="s">
        <v>932</v>
      </c>
      <c r="AA14" s="1173" t="s">
        <v>632</v>
      </c>
      <c r="BC14" s="1173" t="s">
        <v>832</v>
      </c>
      <c r="BE14" s="1173" t="s">
        <v>832</v>
      </c>
      <c r="BF14" s="1173" t="s">
        <v>832</v>
      </c>
      <c r="BG14" s="1173" t="s">
        <v>832</v>
      </c>
      <c r="BH14" s="1173" t="s">
        <v>864</v>
      </c>
      <c r="BI14" s="1173" t="s">
        <v>864</v>
      </c>
      <c r="BK14" s="1173" t="s">
        <v>832</v>
      </c>
      <c r="BL14" s="1173" t="s">
        <v>864</v>
      </c>
      <c r="BM14" s="1173" t="s">
        <v>864</v>
      </c>
      <c r="BN14" s="1173" t="s">
        <v>832</v>
      </c>
      <c r="BP14" s="1173" t="s">
        <v>832</v>
      </c>
      <c r="BQ14" s="1173" t="s">
        <v>832</v>
      </c>
      <c r="BR14" s="1173" t="s">
        <v>832</v>
      </c>
      <c r="BS14" s="1173" t="s">
        <v>864</v>
      </c>
      <c r="BT14" s="1173" t="s">
        <v>864</v>
      </c>
      <c r="BV14" s="1173" t="s">
        <v>832</v>
      </c>
      <c r="BW14" s="1173" t="s">
        <v>864</v>
      </c>
      <c r="BX14" s="1173" t="s">
        <v>864</v>
      </c>
      <c r="CA14" s="1173" t="s">
        <v>832</v>
      </c>
      <c r="CC14" s="1173" t="s">
        <v>864</v>
      </c>
      <c r="CD14" s="1173" t="s">
        <v>864</v>
      </c>
      <c r="CF14" s="1173" t="s">
        <v>832</v>
      </c>
      <c r="CG14" s="1173" t="s">
        <v>864</v>
      </c>
      <c r="CH14" s="1173" t="s">
        <v>864</v>
      </c>
      <c r="CK14" s="1173" t="s">
        <v>946</v>
      </c>
    </row>
    <row r="15" spans="1:90" x14ac:dyDescent="0.2">
      <c r="Y15" s="1173" t="s">
        <v>933</v>
      </c>
      <c r="Z15" s="1173" t="s">
        <v>934</v>
      </c>
      <c r="AA15" s="1173" t="s">
        <v>633</v>
      </c>
      <c r="BC15" s="1173" t="s">
        <v>833</v>
      </c>
      <c r="BE15" s="1173" t="s">
        <v>833</v>
      </c>
      <c r="BF15" s="1173" t="s">
        <v>833</v>
      </c>
      <c r="BG15" s="1173" t="s">
        <v>833</v>
      </c>
      <c r="BH15" s="1173" t="s">
        <v>865</v>
      </c>
      <c r="BI15" s="1173" t="s">
        <v>865</v>
      </c>
      <c r="BK15" s="1173" t="s">
        <v>833</v>
      </c>
      <c r="BL15" s="1173" t="s">
        <v>865</v>
      </c>
      <c r="BM15" s="1173" t="s">
        <v>865</v>
      </c>
      <c r="BN15" s="1173" t="s">
        <v>833</v>
      </c>
      <c r="BP15" s="1173" t="s">
        <v>833</v>
      </c>
      <c r="BQ15" s="1173" t="s">
        <v>833</v>
      </c>
      <c r="BR15" s="1173" t="s">
        <v>833</v>
      </c>
      <c r="BS15" s="1173" t="s">
        <v>865</v>
      </c>
      <c r="BT15" s="1173" t="s">
        <v>865</v>
      </c>
      <c r="BV15" s="1173" t="s">
        <v>833</v>
      </c>
      <c r="BW15" s="1173" t="s">
        <v>865</v>
      </c>
      <c r="BX15" s="1173" t="s">
        <v>865</v>
      </c>
      <c r="CA15" s="1173" t="s">
        <v>833</v>
      </c>
      <c r="CC15" s="1173" t="s">
        <v>865</v>
      </c>
      <c r="CD15" s="1173" t="s">
        <v>865</v>
      </c>
      <c r="CF15" s="1173" t="s">
        <v>833</v>
      </c>
      <c r="CG15" s="1173" t="s">
        <v>865</v>
      </c>
      <c r="CH15" s="1173" t="s">
        <v>865</v>
      </c>
      <c r="CK15" s="1173" t="s">
        <v>947</v>
      </c>
    </row>
    <row r="16" spans="1:90" x14ac:dyDescent="0.2">
      <c r="Y16" s="1173" t="s">
        <v>935</v>
      </c>
      <c r="Z16" s="1173" t="s">
        <v>935</v>
      </c>
      <c r="AA16" s="1173" t="s">
        <v>634</v>
      </c>
      <c r="BC16" s="1173" t="s">
        <v>834</v>
      </c>
      <c r="BE16" s="1173" t="s">
        <v>834</v>
      </c>
      <c r="BF16" s="1173" t="s">
        <v>834</v>
      </c>
      <c r="BG16" s="1173" t="s">
        <v>834</v>
      </c>
      <c r="BH16" s="1173" t="s">
        <v>866</v>
      </c>
      <c r="BI16" s="1173" t="s">
        <v>866</v>
      </c>
      <c r="BK16" s="1173" t="s">
        <v>834</v>
      </c>
      <c r="BL16" s="1173" t="s">
        <v>866</v>
      </c>
      <c r="BM16" s="1173" t="s">
        <v>866</v>
      </c>
      <c r="BN16" s="1173" t="s">
        <v>834</v>
      </c>
      <c r="BP16" s="1173" t="s">
        <v>834</v>
      </c>
      <c r="BQ16" s="1173" t="s">
        <v>834</v>
      </c>
      <c r="BR16" s="1173" t="s">
        <v>834</v>
      </c>
      <c r="BS16" s="1173" t="s">
        <v>866</v>
      </c>
      <c r="BT16" s="1173" t="s">
        <v>866</v>
      </c>
      <c r="BV16" s="1173" t="s">
        <v>834</v>
      </c>
      <c r="BW16" s="1173" t="s">
        <v>866</v>
      </c>
      <c r="BX16" s="1173" t="s">
        <v>866</v>
      </c>
      <c r="CA16" s="1173" t="s">
        <v>834</v>
      </c>
      <c r="CC16" s="1173" t="s">
        <v>866</v>
      </c>
      <c r="CD16" s="1173" t="s">
        <v>866</v>
      </c>
      <c r="CF16" s="1173" t="s">
        <v>834</v>
      </c>
      <c r="CG16" s="1173" t="s">
        <v>866</v>
      </c>
      <c r="CH16" s="1173" t="s">
        <v>866</v>
      </c>
      <c r="CK16" s="1173" t="s">
        <v>948</v>
      </c>
    </row>
    <row r="17" spans="27:89" x14ac:dyDescent="0.2">
      <c r="AA17" s="1173" t="s">
        <v>635</v>
      </c>
      <c r="BC17" s="1173" t="s">
        <v>835</v>
      </c>
      <c r="BE17" s="1173" t="s">
        <v>835</v>
      </c>
      <c r="BF17" s="1173" t="s">
        <v>835</v>
      </c>
      <c r="BG17" s="1173" t="s">
        <v>835</v>
      </c>
      <c r="BH17" s="1173" t="s">
        <v>867</v>
      </c>
      <c r="BI17" s="1173" t="s">
        <v>867</v>
      </c>
      <c r="BK17" s="1173" t="s">
        <v>835</v>
      </c>
      <c r="BL17" s="1173" t="s">
        <v>867</v>
      </c>
      <c r="BM17" s="1173" t="s">
        <v>867</v>
      </c>
      <c r="BN17" s="1173" t="s">
        <v>835</v>
      </c>
      <c r="BP17" s="1173" t="s">
        <v>835</v>
      </c>
      <c r="BQ17" s="1173" t="s">
        <v>835</v>
      </c>
      <c r="BR17" s="1173" t="s">
        <v>835</v>
      </c>
      <c r="BS17" s="1173" t="s">
        <v>867</v>
      </c>
      <c r="BT17" s="1173" t="s">
        <v>867</v>
      </c>
      <c r="BV17" s="1173" t="s">
        <v>835</v>
      </c>
      <c r="BW17" s="1173" t="s">
        <v>867</v>
      </c>
      <c r="BX17" s="1173" t="s">
        <v>867</v>
      </c>
      <c r="CA17" s="1173" t="s">
        <v>835</v>
      </c>
      <c r="CC17" s="1173" t="s">
        <v>867</v>
      </c>
      <c r="CD17" s="1173" t="s">
        <v>867</v>
      </c>
      <c r="CF17" s="1173" t="s">
        <v>835</v>
      </c>
      <c r="CG17" s="1173" t="s">
        <v>867</v>
      </c>
      <c r="CH17" s="1173" t="s">
        <v>867</v>
      </c>
      <c r="CK17" s="1173" t="s">
        <v>949</v>
      </c>
    </row>
    <row r="18" spans="27:89" x14ac:dyDescent="0.2">
      <c r="AA18" s="1173" t="s">
        <v>636</v>
      </c>
      <c r="BC18" s="1173" t="s">
        <v>836</v>
      </c>
      <c r="BE18" s="1173" t="s">
        <v>836</v>
      </c>
      <c r="BF18" s="1173" t="s">
        <v>836</v>
      </c>
      <c r="BG18" s="1173" t="s">
        <v>836</v>
      </c>
      <c r="BH18" s="1173" t="s">
        <v>868</v>
      </c>
      <c r="BI18" s="1173" t="s">
        <v>868</v>
      </c>
      <c r="BK18" s="1173" t="s">
        <v>836</v>
      </c>
      <c r="BL18" s="1173" t="s">
        <v>868</v>
      </c>
      <c r="BM18" s="1173" t="s">
        <v>868</v>
      </c>
      <c r="BN18" s="1173" t="s">
        <v>836</v>
      </c>
      <c r="BP18" s="1173" t="s">
        <v>836</v>
      </c>
      <c r="BQ18" s="1173" t="s">
        <v>836</v>
      </c>
      <c r="BR18" s="1173" t="s">
        <v>836</v>
      </c>
      <c r="BS18" s="1173" t="s">
        <v>868</v>
      </c>
      <c r="BT18" s="1173" t="s">
        <v>868</v>
      </c>
      <c r="BV18" s="1173" t="s">
        <v>836</v>
      </c>
      <c r="BW18" s="1173" t="s">
        <v>868</v>
      </c>
      <c r="BX18" s="1173" t="s">
        <v>868</v>
      </c>
      <c r="CA18" s="1173" t="s">
        <v>836</v>
      </c>
      <c r="CC18" s="1173" t="s">
        <v>868</v>
      </c>
      <c r="CD18" s="1173" t="s">
        <v>868</v>
      </c>
      <c r="CF18" s="1173" t="s">
        <v>836</v>
      </c>
      <c r="CG18" s="1173" t="s">
        <v>868</v>
      </c>
      <c r="CH18" s="1173" t="s">
        <v>868</v>
      </c>
      <c r="CK18" s="1173" t="s">
        <v>950</v>
      </c>
    </row>
    <row r="19" spans="27:89" x14ac:dyDescent="0.2">
      <c r="AA19" s="1173" t="s">
        <v>637</v>
      </c>
      <c r="BC19" s="1173" t="s">
        <v>837</v>
      </c>
      <c r="BE19" s="1173" t="s">
        <v>837</v>
      </c>
      <c r="BF19" s="1173" t="s">
        <v>837</v>
      </c>
      <c r="BG19" s="1173" t="s">
        <v>837</v>
      </c>
      <c r="BH19" s="1173" t="s">
        <v>869</v>
      </c>
      <c r="BI19" s="1173" t="s">
        <v>869</v>
      </c>
      <c r="BK19" s="1173" t="s">
        <v>837</v>
      </c>
      <c r="BL19" s="1173" t="s">
        <v>869</v>
      </c>
      <c r="BM19" s="1173" t="s">
        <v>869</v>
      </c>
      <c r="BN19" s="1173" t="s">
        <v>837</v>
      </c>
      <c r="BP19" s="1173" t="s">
        <v>837</v>
      </c>
      <c r="BQ19" s="1173" t="s">
        <v>837</v>
      </c>
      <c r="BR19" s="1173" t="s">
        <v>837</v>
      </c>
      <c r="BS19" s="1173" t="s">
        <v>869</v>
      </c>
      <c r="BT19" s="1173" t="s">
        <v>869</v>
      </c>
      <c r="BV19" s="1173" t="s">
        <v>837</v>
      </c>
      <c r="BW19" s="1173" t="s">
        <v>869</v>
      </c>
      <c r="BX19" s="1173" t="s">
        <v>869</v>
      </c>
      <c r="CA19" s="1173" t="s">
        <v>837</v>
      </c>
      <c r="CC19" s="1173" t="s">
        <v>869</v>
      </c>
      <c r="CD19" s="1173" t="s">
        <v>869</v>
      </c>
      <c r="CF19" s="1173" t="s">
        <v>837</v>
      </c>
      <c r="CG19" s="1173" t="s">
        <v>869</v>
      </c>
      <c r="CH19" s="1173" t="s">
        <v>869</v>
      </c>
      <c r="CK19" s="1173" t="s">
        <v>951</v>
      </c>
    </row>
    <row r="20" spans="27:89" x14ac:dyDescent="0.2">
      <c r="AA20" s="1173" t="s">
        <v>638</v>
      </c>
      <c r="BC20" s="1173" t="s">
        <v>838</v>
      </c>
      <c r="BE20" s="1173" t="s">
        <v>838</v>
      </c>
      <c r="BF20" s="1173" t="s">
        <v>838</v>
      </c>
      <c r="BG20" s="1173" t="s">
        <v>838</v>
      </c>
      <c r="BH20" s="1173" t="s">
        <v>870</v>
      </c>
      <c r="BI20" s="1173" t="s">
        <v>870</v>
      </c>
      <c r="BK20" s="1173" t="s">
        <v>838</v>
      </c>
      <c r="BL20" s="1173" t="s">
        <v>870</v>
      </c>
      <c r="BM20" s="1173" t="s">
        <v>870</v>
      </c>
      <c r="BN20" s="1173" t="s">
        <v>838</v>
      </c>
      <c r="BP20" s="1173" t="s">
        <v>838</v>
      </c>
      <c r="BQ20" s="1173" t="s">
        <v>838</v>
      </c>
      <c r="BR20" s="1173" t="s">
        <v>838</v>
      </c>
      <c r="BS20" s="1173" t="s">
        <v>870</v>
      </c>
      <c r="BT20" s="1173" t="s">
        <v>870</v>
      </c>
      <c r="BV20" s="1173" t="s">
        <v>838</v>
      </c>
      <c r="BW20" s="1173" t="s">
        <v>870</v>
      </c>
      <c r="BX20" s="1173" t="s">
        <v>870</v>
      </c>
      <c r="CA20" s="1173" t="s">
        <v>838</v>
      </c>
      <c r="CC20" s="1173" t="s">
        <v>870</v>
      </c>
      <c r="CD20" s="1173" t="s">
        <v>870</v>
      </c>
      <c r="CF20" s="1173" t="s">
        <v>838</v>
      </c>
      <c r="CG20" s="1173" t="s">
        <v>870</v>
      </c>
      <c r="CH20" s="1173" t="s">
        <v>870</v>
      </c>
      <c r="CK20" s="1173" t="s">
        <v>952</v>
      </c>
    </row>
    <row r="21" spans="27:89" x14ac:dyDescent="0.2">
      <c r="AA21" s="1173" t="s">
        <v>639</v>
      </c>
      <c r="BC21" s="1173" t="s">
        <v>839</v>
      </c>
      <c r="BE21" s="1173" t="s">
        <v>839</v>
      </c>
      <c r="BF21" s="1173" t="s">
        <v>839</v>
      </c>
      <c r="BG21" s="1173" t="s">
        <v>839</v>
      </c>
      <c r="BH21" s="1173" t="s">
        <v>871</v>
      </c>
      <c r="BI21" s="1173" t="s">
        <v>871</v>
      </c>
      <c r="BK21" s="1173" t="s">
        <v>839</v>
      </c>
      <c r="BL21" s="1173" t="s">
        <v>871</v>
      </c>
      <c r="BM21" s="1173" t="s">
        <v>871</v>
      </c>
      <c r="BN21" s="1173" t="s">
        <v>839</v>
      </c>
      <c r="BP21" s="1173" t="s">
        <v>839</v>
      </c>
      <c r="BQ21" s="1173" t="s">
        <v>839</v>
      </c>
      <c r="BR21" s="1173" t="s">
        <v>839</v>
      </c>
      <c r="BS21" s="1173" t="s">
        <v>871</v>
      </c>
      <c r="BT21" s="1173" t="s">
        <v>871</v>
      </c>
      <c r="BV21" s="1173" t="s">
        <v>839</v>
      </c>
      <c r="BW21" s="1173" t="s">
        <v>871</v>
      </c>
      <c r="BX21" s="1173" t="s">
        <v>871</v>
      </c>
      <c r="CA21" s="1173" t="s">
        <v>839</v>
      </c>
      <c r="CC21" s="1173" t="s">
        <v>871</v>
      </c>
      <c r="CD21" s="1173" t="s">
        <v>871</v>
      </c>
      <c r="CF21" s="1173" t="s">
        <v>839</v>
      </c>
      <c r="CG21" s="1173" t="s">
        <v>871</v>
      </c>
      <c r="CH21" s="1173" t="s">
        <v>871</v>
      </c>
      <c r="CK21" s="1173" t="s">
        <v>953</v>
      </c>
    </row>
    <row r="22" spans="27:89" x14ac:dyDescent="0.2">
      <c r="AA22" s="1173" t="s">
        <v>640</v>
      </c>
      <c r="BC22" s="1173" t="s">
        <v>840</v>
      </c>
      <c r="BE22" s="1173" t="s">
        <v>840</v>
      </c>
      <c r="BF22" s="1173" t="s">
        <v>840</v>
      </c>
      <c r="BG22" s="1173" t="s">
        <v>840</v>
      </c>
      <c r="BH22" s="1173" t="s">
        <v>872</v>
      </c>
      <c r="BI22" s="1173" t="s">
        <v>872</v>
      </c>
      <c r="BK22" s="1173" t="s">
        <v>840</v>
      </c>
      <c r="BL22" s="1173" t="s">
        <v>872</v>
      </c>
      <c r="BM22" s="1173" t="s">
        <v>872</v>
      </c>
      <c r="BN22" s="1173" t="s">
        <v>840</v>
      </c>
      <c r="BP22" s="1173" t="s">
        <v>840</v>
      </c>
      <c r="BQ22" s="1173" t="s">
        <v>840</v>
      </c>
      <c r="BR22" s="1173" t="s">
        <v>840</v>
      </c>
      <c r="BS22" s="1173" t="s">
        <v>872</v>
      </c>
      <c r="BT22" s="1173" t="s">
        <v>872</v>
      </c>
      <c r="BV22" s="1173" t="s">
        <v>840</v>
      </c>
      <c r="BW22" s="1173" t="s">
        <v>872</v>
      </c>
      <c r="BX22" s="1173" t="s">
        <v>872</v>
      </c>
      <c r="CA22" s="1173" t="s">
        <v>840</v>
      </c>
      <c r="CC22" s="1173" t="s">
        <v>872</v>
      </c>
      <c r="CD22" s="1173" t="s">
        <v>872</v>
      </c>
      <c r="CF22" s="1173" t="s">
        <v>840</v>
      </c>
      <c r="CG22" s="1173" t="s">
        <v>872</v>
      </c>
      <c r="CH22" s="1173" t="s">
        <v>872</v>
      </c>
      <c r="CK22" s="1173" t="s">
        <v>954</v>
      </c>
    </row>
    <row r="23" spans="27:89" x14ac:dyDescent="0.2">
      <c r="AA23" s="1173" t="s">
        <v>641</v>
      </c>
      <c r="BC23" s="1173" t="s">
        <v>841</v>
      </c>
      <c r="BE23" s="1173" t="s">
        <v>841</v>
      </c>
      <c r="BF23" s="1173" t="s">
        <v>841</v>
      </c>
      <c r="BG23" s="1173" t="s">
        <v>841</v>
      </c>
      <c r="BH23" s="1173" t="s">
        <v>873</v>
      </c>
      <c r="BI23" s="1173" t="s">
        <v>873</v>
      </c>
      <c r="BK23" s="1173" t="s">
        <v>841</v>
      </c>
      <c r="BL23" s="1173" t="s">
        <v>873</v>
      </c>
      <c r="BM23" s="1173" t="s">
        <v>873</v>
      </c>
      <c r="BN23" s="1173" t="s">
        <v>841</v>
      </c>
      <c r="BP23" s="1173" t="s">
        <v>841</v>
      </c>
      <c r="BQ23" s="1173" t="s">
        <v>841</v>
      </c>
      <c r="BR23" s="1173" t="s">
        <v>841</v>
      </c>
      <c r="BS23" s="1173" t="s">
        <v>873</v>
      </c>
      <c r="BT23" s="1173" t="s">
        <v>873</v>
      </c>
      <c r="BV23" s="1173" t="s">
        <v>841</v>
      </c>
      <c r="BW23" s="1173" t="s">
        <v>873</v>
      </c>
      <c r="BX23" s="1173" t="s">
        <v>873</v>
      </c>
      <c r="CA23" s="1173" t="s">
        <v>841</v>
      </c>
      <c r="CC23" s="1173" t="s">
        <v>873</v>
      </c>
      <c r="CD23" s="1173" t="s">
        <v>873</v>
      </c>
      <c r="CF23" s="1173" t="s">
        <v>841</v>
      </c>
      <c r="CG23" s="1173" t="s">
        <v>873</v>
      </c>
      <c r="CH23" s="1173" t="s">
        <v>873</v>
      </c>
      <c r="CK23" s="1173" t="s">
        <v>955</v>
      </c>
    </row>
    <row r="24" spans="27:89" x14ac:dyDescent="0.2">
      <c r="AA24" s="1173" t="s">
        <v>642</v>
      </c>
      <c r="BC24" s="1173" t="s">
        <v>842</v>
      </c>
      <c r="BE24" s="1173" t="s">
        <v>842</v>
      </c>
      <c r="BF24" s="1173" t="s">
        <v>842</v>
      </c>
      <c r="BG24" s="1173" t="s">
        <v>842</v>
      </c>
      <c r="BH24" s="1173" t="s">
        <v>874</v>
      </c>
      <c r="BI24" s="1173" t="s">
        <v>874</v>
      </c>
      <c r="BK24" s="1173" t="s">
        <v>842</v>
      </c>
      <c r="BL24" s="1173" t="s">
        <v>874</v>
      </c>
      <c r="BM24" s="1173" t="s">
        <v>874</v>
      </c>
      <c r="BN24" s="1173" t="s">
        <v>842</v>
      </c>
      <c r="BP24" s="1173" t="s">
        <v>842</v>
      </c>
      <c r="BQ24" s="1173" t="s">
        <v>842</v>
      </c>
      <c r="BR24" s="1173" t="s">
        <v>842</v>
      </c>
      <c r="BS24" s="1173" t="s">
        <v>874</v>
      </c>
      <c r="BT24" s="1173" t="s">
        <v>874</v>
      </c>
      <c r="BV24" s="1173" t="s">
        <v>842</v>
      </c>
      <c r="BW24" s="1173" t="s">
        <v>874</v>
      </c>
      <c r="BX24" s="1173" t="s">
        <v>874</v>
      </c>
      <c r="CA24" s="1173" t="s">
        <v>842</v>
      </c>
      <c r="CC24" s="1173" t="s">
        <v>874</v>
      </c>
      <c r="CD24" s="1173" t="s">
        <v>874</v>
      </c>
      <c r="CF24" s="1173" t="s">
        <v>842</v>
      </c>
      <c r="CG24" s="1173" t="s">
        <v>874</v>
      </c>
      <c r="CH24" s="1173" t="s">
        <v>874</v>
      </c>
      <c r="CK24" s="1173" t="s">
        <v>956</v>
      </c>
    </row>
    <row r="25" spans="27:89" x14ac:dyDescent="0.2">
      <c r="AA25" s="1173" t="s">
        <v>643</v>
      </c>
      <c r="BC25" s="1173" t="s">
        <v>843</v>
      </c>
      <c r="BE25" s="1173" t="s">
        <v>843</v>
      </c>
      <c r="BF25" s="1173" t="s">
        <v>843</v>
      </c>
      <c r="BG25" s="1173" t="s">
        <v>843</v>
      </c>
      <c r="BH25" s="1173" t="s">
        <v>875</v>
      </c>
      <c r="BI25" s="1173" t="s">
        <v>875</v>
      </c>
      <c r="BK25" s="1173" t="s">
        <v>843</v>
      </c>
      <c r="BL25" s="1173" t="s">
        <v>875</v>
      </c>
      <c r="BM25" s="1173" t="s">
        <v>875</v>
      </c>
      <c r="BN25" s="1173" t="s">
        <v>843</v>
      </c>
      <c r="BP25" s="1173" t="s">
        <v>843</v>
      </c>
      <c r="BQ25" s="1173" t="s">
        <v>843</v>
      </c>
      <c r="BR25" s="1173" t="s">
        <v>843</v>
      </c>
      <c r="BS25" s="1173" t="s">
        <v>875</v>
      </c>
      <c r="BT25" s="1173" t="s">
        <v>875</v>
      </c>
      <c r="BV25" s="1173" t="s">
        <v>843</v>
      </c>
      <c r="BW25" s="1173" t="s">
        <v>875</v>
      </c>
      <c r="BX25" s="1173" t="s">
        <v>875</v>
      </c>
      <c r="CA25" s="1173" t="s">
        <v>843</v>
      </c>
      <c r="CC25" s="1173" t="s">
        <v>875</v>
      </c>
      <c r="CD25" s="1173" t="s">
        <v>875</v>
      </c>
      <c r="CF25" s="1173" t="s">
        <v>843</v>
      </c>
      <c r="CG25" s="1173" t="s">
        <v>875</v>
      </c>
      <c r="CH25" s="1173" t="s">
        <v>875</v>
      </c>
    </row>
    <row r="26" spans="27:89" x14ac:dyDescent="0.2">
      <c r="AA26" s="1173" t="s">
        <v>644</v>
      </c>
      <c r="BH26" s="1173" t="s">
        <v>876</v>
      </c>
      <c r="BI26" s="1173" t="s">
        <v>876</v>
      </c>
      <c r="BL26" s="1173" t="s">
        <v>876</v>
      </c>
      <c r="BM26" s="1173" t="s">
        <v>876</v>
      </c>
      <c r="BS26" s="1173" t="s">
        <v>876</v>
      </c>
      <c r="BT26" s="1173" t="s">
        <v>876</v>
      </c>
      <c r="BW26" s="1173" t="s">
        <v>876</v>
      </c>
      <c r="BX26" s="1173" t="s">
        <v>876</v>
      </c>
      <c r="CC26" s="1173" t="s">
        <v>876</v>
      </c>
      <c r="CD26" s="1173" t="s">
        <v>876</v>
      </c>
      <c r="CG26" s="1173" t="s">
        <v>876</v>
      </c>
      <c r="CH26" s="1173" t="s">
        <v>876</v>
      </c>
    </row>
    <row r="27" spans="27:89" x14ac:dyDescent="0.2">
      <c r="AA27" s="1173" t="s">
        <v>645</v>
      </c>
      <c r="BH27" s="1173" t="s">
        <v>877</v>
      </c>
      <c r="BI27" s="1173" t="s">
        <v>877</v>
      </c>
      <c r="BL27" s="1173" t="s">
        <v>877</v>
      </c>
      <c r="BM27" s="1173" t="s">
        <v>877</v>
      </c>
      <c r="BS27" s="1173" t="s">
        <v>877</v>
      </c>
      <c r="BT27" s="1173" t="s">
        <v>877</v>
      </c>
      <c r="BW27" s="1173" t="s">
        <v>877</v>
      </c>
      <c r="BX27" s="1173" t="s">
        <v>877</v>
      </c>
      <c r="CC27" s="1173" t="s">
        <v>877</v>
      </c>
      <c r="CD27" s="1173" t="s">
        <v>877</v>
      </c>
      <c r="CG27" s="1173" t="s">
        <v>877</v>
      </c>
      <c r="CH27" s="1173" t="s">
        <v>877</v>
      </c>
    </row>
    <row r="28" spans="27:89" x14ac:dyDescent="0.2">
      <c r="AA28" s="1173" t="s">
        <v>646</v>
      </c>
      <c r="BH28" s="1173" t="s">
        <v>878</v>
      </c>
      <c r="BI28" s="1173" t="s">
        <v>878</v>
      </c>
      <c r="BL28" s="1173" t="s">
        <v>878</v>
      </c>
      <c r="BM28" s="1173" t="s">
        <v>878</v>
      </c>
      <c r="BS28" s="1173" t="s">
        <v>878</v>
      </c>
      <c r="BT28" s="1173" t="s">
        <v>878</v>
      </c>
      <c r="BW28" s="1173" t="s">
        <v>878</v>
      </c>
      <c r="BX28" s="1173" t="s">
        <v>878</v>
      </c>
      <c r="CC28" s="1173" t="s">
        <v>878</v>
      </c>
      <c r="CD28" s="1173" t="s">
        <v>878</v>
      </c>
      <c r="CG28" s="1173" t="s">
        <v>878</v>
      </c>
      <c r="CH28" s="1173" t="s">
        <v>878</v>
      </c>
    </row>
    <row r="29" spans="27:89" x14ac:dyDescent="0.2">
      <c r="AA29" s="1173" t="s">
        <v>647</v>
      </c>
      <c r="BH29" s="1173" t="s">
        <v>879</v>
      </c>
      <c r="BI29" s="1173" t="s">
        <v>879</v>
      </c>
      <c r="BL29" s="1173" t="s">
        <v>879</v>
      </c>
      <c r="BM29" s="1173" t="s">
        <v>879</v>
      </c>
      <c r="BS29" s="1173" t="s">
        <v>879</v>
      </c>
      <c r="BT29" s="1173" t="s">
        <v>879</v>
      </c>
      <c r="BW29" s="1173" t="s">
        <v>879</v>
      </c>
      <c r="BX29" s="1173" t="s">
        <v>879</v>
      </c>
      <c r="CC29" s="1173" t="s">
        <v>879</v>
      </c>
      <c r="CD29" s="1173" t="s">
        <v>879</v>
      </c>
      <c r="CG29" s="1173" t="s">
        <v>879</v>
      </c>
      <c r="CH29" s="1173" t="s">
        <v>879</v>
      </c>
    </row>
    <row r="30" spans="27:89" x14ac:dyDescent="0.2">
      <c r="AA30" s="1173" t="s">
        <v>648</v>
      </c>
      <c r="BH30" s="1173" t="s">
        <v>880</v>
      </c>
      <c r="BI30" s="1173" t="s">
        <v>880</v>
      </c>
      <c r="BL30" s="1173" t="s">
        <v>880</v>
      </c>
      <c r="BM30" s="1173" t="s">
        <v>880</v>
      </c>
      <c r="BS30" s="1173" t="s">
        <v>880</v>
      </c>
      <c r="BT30" s="1173" t="s">
        <v>880</v>
      </c>
      <c r="BW30" s="1173" t="s">
        <v>880</v>
      </c>
      <c r="BX30" s="1173" t="s">
        <v>880</v>
      </c>
      <c r="CC30" s="1173" t="s">
        <v>880</v>
      </c>
      <c r="CD30" s="1173" t="s">
        <v>880</v>
      </c>
      <c r="CG30" s="1173" t="s">
        <v>880</v>
      </c>
      <c r="CH30" s="1173" t="s">
        <v>880</v>
      </c>
    </row>
    <row r="31" spans="27:89" x14ac:dyDescent="0.2">
      <c r="AA31" s="1173" t="s">
        <v>649</v>
      </c>
      <c r="BH31" s="1173" t="s">
        <v>881</v>
      </c>
      <c r="BI31" s="1173" t="s">
        <v>881</v>
      </c>
      <c r="BL31" s="1173" t="s">
        <v>881</v>
      </c>
      <c r="BM31" s="1173" t="s">
        <v>881</v>
      </c>
      <c r="BS31" s="1173" t="s">
        <v>881</v>
      </c>
      <c r="BT31" s="1173" t="s">
        <v>881</v>
      </c>
      <c r="BW31" s="1173" t="s">
        <v>881</v>
      </c>
      <c r="BX31" s="1173" t="s">
        <v>881</v>
      </c>
      <c r="CC31" s="1173" t="s">
        <v>881</v>
      </c>
      <c r="CD31" s="1173" t="s">
        <v>881</v>
      </c>
      <c r="CG31" s="1173" t="s">
        <v>881</v>
      </c>
      <c r="CH31" s="1173" t="s">
        <v>881</v>
      </c>
    </row>
    <row r="32" spans="27:89" x14ac:dyDescent="0.2">
      <c r="AA32" s="1173" t="s">
        <v>650</v>
      </c>
      <c r="BH32" s="1173" t="s">
        <v>882</v>
      </c>
      <c r="BI32" s="1173" t="s">
        <v>882</v>
      </c>
      <c r="BL32" s="1173" t="s">
        <v>882</v>
      </c>
      <c r="BM32" s="1173" t="s">
        <v>882</v>
      </c>
      <c r="BS32" s="1173" t="s">
        <v>882</v>
      </c>
      <c r="BT32" s="1173" t="s">
        <v>882</v>
      </c>
      <c r="BW32" s="1173" t="s">
        <v>882</v>
      </c>
      <c r="BX32" s="1173" t="s">
        <v>882</v>
      </c>
      <c r="CC32" s="1173" t="s">
        <v>882</v>
      </c>
      <c r="CD32" s="1173" t="s">
        <v>882</v>
      </c>
      <c r="CG32" s="1173" t="s">
        <v>882</v>
      </c>
      <c r="CH32" s="1173" t="s">
        <v>882</v>
      </c>
    </row>
    <row r="33" spans="27:27" x14ac:dyDescent="0.2">
      <c r="AA33" s="1173" t="s">
        <v>651</v>
      </c>
    </row>
    <row r="34" spans="27:27" x14ac:dyDescent="0.2">
      <c r="AA34" s="1173" t="s">
        <v>652</v>
      </c>
    </row>
    <row r="35" spans="27:27" x14ac:dyDescent="0.2">
      <c r="AA35" s="1173" t="s">
        <v>653</v>
      </c>
    </row>
    <row r="36" spans="27:27" x14ac:dyDescent="0.2">
      <c r="AA36" s="1173" t="s">
        <v>654</v>
      </c>
    </row>
    <row r="37" spans="27:27" x14ac:dyDescent="0.2">
      <c r="AA37" s="1173" t="s">
        <v>655</v>
      </c>
    </row>
    <row r="38" spans="27:27" x14ac:dyDescent="0.2">
      <c r="AA38" s="1173" t="s">
        <v>656</v>
      </c>
    </row>
    <row r="39" spans="27:27" x14ac:dyDescent="0.2">
      <c r="AA39" s="1173" t="s">
        <v>657</v>
      </c>
    </row>
    <row r="40" spans="27:27" x14ac:dyDescent="0.2">
      <c r="AA40" s="1173" t="s">
        <v>658</v>
      </c>
    </row>
    <row r="41" spans="27:27" x14ac:dyDescent="0.2">
      <c r="AA41" s="1173" t="s">
        <v>659</v>
      </c>
    </row>
    <row r="42" spans="27:27" x14ac:dyDescent="0.2">
      <c r="AA42" s="1173" t="s">
        <v>660</v>
      </c>
    </row>
    <row r="43" spans="27:27" x14ac:dyDescent="0.2">
      <c r="AA43" s="1173" t="s">
        <v>661</v>
      </c>
    </row>
    <row r="44" spans="27:27" x14ac:dyDescent="0.2">
      <c r="AA44" s="1173" t="s">
        <v>662</v>
      </c>
    </row>
    <row r="45" spans="27:27" x14ac:dyDescent="0.2">
      <c r="AA45" s="1173" t="s">
        <v>663</v>
      </c>
    </row>
    <row r="46" spans="27:27" x14ac:dyDescent="0.2">
      <c r="AA46" s="1173" t="s">
        <v>664</v>
      </c>
    </row>
    <row r="47" spans="27:27" x14ac:dyDescent="0.2">
      <c r="AA47" s="1173" t="s">
        <v>665</v>
      </c>
    </row>
    <row r="48" spans="27:27" x14ac:dyDescent="0.2">
      <c r="AA48" s="1173" t="s">
        <v>666</v>
      </c>
    </row>
    <row r="49" spans="27:27" x14ac:dyDescent="0.2">
      <c r="AA49" s="1173" t="s">
        <v>667</v>
      </c>
    </row>
    <row r="50" spans="27:27" x14ac:dyDescent="0.2">
      <c r="AA50" s="1173" t="s">
        <v>668</v>
      </c>
    </row>
    <row r="51" spans="27:27" x14ac:dyDescent="0.2">
      <c r="AA51" s="1173" t="s">
        <v>669</v>
      </c>
    </row>
    <row r="52" spans="27:27" x14ac:dyDescent="0.2">
      <c r="AA52" s="1173" t="s">
        <v>670</v>
      </c>
    </row>
    <row r="53" spans="27:27" x14ac:dyDescent="0.2">
      <c r="AA53" s="1173" t="s">
        <v>671</v>
      </c>
    </row>
    <row r="54" spans="27:27" x14ac:dyDescent="0.2">
      <c r="AA54" s="1173" t="s">
        <v>672</v>
      </c>
    </row>
    <row r="55" spans="27:27" x14ac:dyDescent="0.2">
      <c r="AA55" s="1173" t="s">
        <v>673</v>
      </c>
    </row>
    <row r="56" spans="27:27" x14ac:dyDescent="0.2">
      <c r="AA56" s="1173" t="s">
        <v>674</v>
      </c>
    </row>
    <row r="57" spans="27:27" x14ac:dyDescent="0.2">
      <c r="AA57" s="1173" t="s">
        <v>675</v>
      </c>
    </row>
    <row r="58" spans="27:27" x14ac:dyDescent="0.2">
      <c r="AA58" s="1173" t="s">
        <v>676</v>
      </c>
    </row>
    <row r="59" spans="27:27" x14ac:dyDescent="0.2">
      <c r="AA59" s="1173" t="s">
        <v>677</v>
      </c>
    </row>
    <row r="60" spans="27:27" x14ac:dyDescent="0.2">
      <c r="AA60" s="1173" t="s">
        <v>678</v>
      </c>
    </row>
    <row r="61" spans="27:27" x14ac:dyDescent="0.2">
      <c r="AA61" s="1173" t="s">
        <v>679</v>
      </c>
    </row>
    <row r="62" spans="27:27" x14ac:dyDescent="0.2">
      <c r="AA62" s="1173" t="s">
        <v>680</v>
      </c>
    </row>
    <row r="63" spans="27:27" x14ac:dyDescent="0.2">
      <c r="AA63" s="1173" t="s">
        <v>681</v>
      </c>
    </row>
    <row r="64" spans="27:27" x14ac:dyDescent="0.2">
      <c r="AA64" s="1173" t="s">
        <v>682</v>
      </c>
    </row>
    <row r="65" spans="27:27" x14ac:dyDescent="0.2">
      <c r="AA65" s="1173" t="s">
        <v>683</v>
      </c>
    </row>
    <row r="66" spans="27:27" x14ac:dyDescent="0.2">
      <c r="AA66" s="1173" t="s">
        <v>684</v>
      </c>
    </row>
    <row r="67" spans="27:27" x14ac:dyDescent="0.2">
      <c r="AA67" s="1173" t="s">
        <v>685</v>
      </c>
    </row>
    <row r="68" spans="27:27" x14ac:dyDescent="0.2">
      <c r="AA68" s="1173" t="s">
        <v>686</v>
      </c>
    </row>
    <row r="69" spans="27:27" x14ac:dyDescent="0.2">
      <c r="AA69" s="1173" t="s">
        <v>687</v>
      </c>
    </row>
    <row r="70" spans="27:27" x14ac:dyDescent="0.2">
      <c r="AA70" s="1173" t="s">
        <v>688</v>
      </c>
    </row>
    <row r="71" spans="27:27" x14ac:dyDescent="0.2">
      <c r="AA71" s="1173" t="s">
        <v>689</v>
      </c>
    </row>
    <row r="72" spans="27:27" x14ac:dyDescent="0.2">
      <c r="AA72" s="1173" t="s">
        <v>690</v>
      </c>
    </row>
    <row r="73" spans="27:27" x14ac:dyDescent="0.2">
      <c r="AA73" s="1173" t="s">
        <v>691</v>
      </c>
    </row>
    <row r="74" spans="27:27" x14ac:dyDescent="0.2">
      <c r="AA74" s="1173" t="s">
        <v>692</v>
      </c>
    </row>
    <row r="75" spans="27:27" x14ac:dyDescent="0.2">
      <c r="AA75" s="1173" t="s">
        <v>693</v>
      </c>
    </row>
    <row r="76" spans="27:27" x14ac:dyDescent="0.2">
      <c r="AA76" s="1173" t="s">
        <v>694</v>
      </c>
    </row>
    <row r="77" spans="27:27" x14ac:dyDescent="0.2">
      <c r="AA77" s="1173" t="s">
        <v>695</v>
      </c>
    </row>
    <row r="78" spans="27:27" x14ac:dyDescent="0.2">
      <c r="AA78" s="1173" t="s">
        <v>696</v>
      </c>
    </row>
    <row r="79" spans="27:27" x14ac:dyDescent="0.2">
      <c r="AA79" s="1173" t="s">
        <v>697</v>
      </c>
    </row>
    <row r="80" spans="27:27" x14ac:dyDescent="0.2">
      <c r="AA80" s="1173" t="s">
        <v>698</v>
      </c>
    </row>
    <row r="81" spans="27:27" x14ac:dyDescent="0.2">
      <c r="AA81" s="1173" t="s">
        <v>699</v>
      </c>
    </row>
    <row r="82" spans="27:27" x14ac:dyDescent="0.2">
      <c r="AA82" s="1173" t="s">
        <v>700</v>
      </c>
    </row>
    <row r="83" spans="27:27" x14ac:dyDescent="0.2">
      <c r="AA83" s="1173" t="s">
        <v>701</v>
      </c>
    </row>
    <row r="84" spans="27:27" x14ac:dyDescent="0.2">
      <c r="AA84" s="1173" t="s">
        <v>702</v>
      </c>
    </row>
    <row r="85" spans="27:27" x14ac:dyDescent="0.2">
      <c r="AA85" s="1173" t="s">
        <v>703</v>
      </c>
    </row>
    <row r="86" spans="27:27" x14ac:dyDescent="0.2">
      <c r="AA86" s="1173" t="s">
        <v>704</v>
      </c>
    </row>
    <row r="87" spans="27:27" x14ac:dyDescent="0.2">
      <c r="AA87" s="1173" t="s">
        <v>705</v>
      </c>
    </row>
    <row r="88" spans="27:27" x14ac:dyDescent="0.2">
      <c r="AA88" s="1173" t="s">
        <v>706</v>
      </c>
    </row>
    <row r="89" spans="27:27" x14ac:dyDescent="0.2">
      <c r="AA89" s="1173" t="s">
        <v>707</v>
      </c>
    </row>
    <row r="90" spans="27:27" x14ac:dyDescent="0.2">
      <c r="AA90" s="1173" t="s">
        <v>708</v>
      </c>
    </row>
    <row r="91" spans="27:27" x14ac:dyDescent="0.2">
      <c r="AA91" s="1173" t="s">
        <v>709</v>
      </c>
    </row>
    <row r="92" spans="27:27" x14ac:dyDescent="0.2">
      <c r="AA92" s="1173" t="s">
        <v>710</v>
      </c>
    </row>
    <row r="93" spans="27:27" x14ac:dyDescent="0.2">
      <c r="AA93" s="1173" t="s">
        <v>711</v>
      </c>
    </row>
    <row r="94" spans="27:27" x14ac:dyDescent="0.2">
      <c r="AA94" s="1173" t="s">
        <v>712</v>
      </c>
    </row>
    <row r="95" spans="27:27" x14ac:dyDescent="0.2">
      <c r="AA95" s="1173" t="s">
        <v>713</v>
      </c>
    </row>
    <row r="96" spans="27:27" x14ac:dyDescent="0.2">
      <c r="AA96" s="1173" t="s">
        <v>714</v>
      </c>
    </row>
    <row r="97" spans="27:27" x14ac:dyDescent="0.2">
      <c r="AA97" s="1173" t="s">
        <v>715</v>
      </c>
    </row>
    <row r="98" spans="27:27" x14ac:dyDescent="0.2">
      <c r="AA98" s="1173" t="s">
        <v>716</v>
      </c>
    </row>
    <row r="99" spans="27:27" x14ac:dyDescent="0.2">
      <c r="AA99" s="1173" t="s">
        <v>717</v>
      </c>
    </row>
    <row r="100" spans="27:27" x14ac:dyDescent="0.2">
      <c r="AA100" s="1173" t="s">
        <v>718</v>
      </c>
    </row>
    <row r="101" spans="27:27" x14ac:dyDescent="0.2">
      <c r="AA101" s="1173" t="s">
        <v>719</v>
      </c>
    </row>
    <row r="102" spans="27:27" x14ac:dyDescent="0.2">
      <c r="AA102" s="1173" t="s">
        <v>720</v>
      </c>
    </row>
    <row r="103" spans="27:27" x14ac:dyDescent="0.2">
      <c r="AA103" s="1173" t="s">
        <v>721</v>
      </c>
    </row>
    <row r="104" spans="27:27" x14ac:dyDescent="0.2">
      <c r="AA104" s="1173" t="s">
        <v>722</v>
      </c>
    </row>
    <row r="105" spans="27:27" x14ac:dyDescent="0.2">
      <c r="AA105" s="1173" t="s">
        <v>723</v>
      </c>
    </row>
    <row r="106" spans="27:27" x14ac:dyDescent="0.2">
      <c r="AA106" s="1173" t="s">
        <v>724</v>
      </c>
    </row>
    <row r="107" spans="27:27" x14ac:dyDescent="0.2">
      <c r="AA107" s="1173" t="s">
        <v>725</v>
      </c>
    </row>
    <row r="108" spans="27:27" x14ac:dyDescent="0.2">
      <c r="AA108" s="1173" t="s">
        <v>726</v>
      </c>
    </row>
    <row r="109" spans="27:27" x14ac:dyDescent="0.2">
      <c r="AA109" s="1173" t="s">
        <v>727</v>
      </c>
    </row>
    <row r="110" spans="27:27" x14ac:dyDescent="0.2">
      <c r="AA110" s="1173" t="s">
        <v>728</v>
      </c>
    </row>
    <row r="111" spans="27:27" x14ac:dyDescent="0.2">
      <c r="AA111" s="1173" t="s">
        <v>729</v>
      </c>
    </row>
    <row r="112" spans="27:27" x14ac:dyDescent="0.2">
      <c r="AA112" s="1173" t="s">
        <v>730</v>
      </c>
    </row>
    <row r="113" spans="27:27" x14ac:dyDescent="0.2">
      <c r="AA113" s="1173" t="s">
        <v>731</v>
      </c>
    </row>
    <row r="114" spans="27:27" x14ac:dyDescent="0.2">
      <c r="AA114" s="1173" t="s">
        <v>732</v>
      </c>
    </row>
    <row r="115" spans="27:27" x14ac:dyDescent="0.2">
      <c r="AA115" s="1173" t="s">
        <v>733</v>
      </c>
    </row>
    <row r="116" spans="27:27" x14ac:dyDescent="0.2">
      <c r="AA116" s="1173" t="s">
        <v>734</v>
      </c>
    </row>
    <row r="117" spans="27:27" x14ac:dyDescent="0.2">
      <c r="AA117" s="1173" t="s">
        <v>735</v>
      </c>
    </row>
    <row r="118" spans="27:27" x14ac:dyDescent="0.2">
      <c r="AA118" s="1173" t="s">
        <v>736</v>
      </c>
    </row>
    <row r="119" spans="27:27" x14ac:dyDescent="0.2">
      <c r="AA119" s="1173" t="s">
        <v>737</v>
      </c>
    </row>
    <row r="120" spans="27:27" x14ac:dyDescent="0.2">
      <c r="AA120" s="1173" t="s">
        <v>738</v>
      </c>
    </row>
    <row r="121" spans="27:27" x14ac:dyDescent="0.2">
      <c r="AA121" s="1173" t="s">
        <v>739</v>
      </c>
    </row>
    <row r="122" spans="27:27" x14ac:dyDescent="0.2">
      <c r="AA122" s="1173" t="s">
        <v>740</v>
      </c>
    </row>
    <row r="123" spans="27:27" x14ac:dyDescent="0.2">
      <c r="AA123" s="1173" t="s">
        <v>741</v>
      </c>
    </row>
    <row r="124" spans="27:27" x14ac:dyDescent="0.2">
      <c r="AA124" s="1173" t="s">
        <v>742</v>
      </c>
    </row>
    <row r="125" spans="27:27" x14ac:dyDescent="0.2">
      <c r="AA125" s="1173" t="s">
        <v>743</v>
      </c>
    </row>
    <row r="126" spans="27:27" x14ac:dyDescent="0.2">
      <c r="AA126" s="1173" t="s">
        <v>744</v>
      </c>
    </row>
    <row r="127" spans="27:27" x14ac:dyDescent="0.2">
      <c r="AA127" s="1173" t="s">
        <v>745</v>
      </c>
    </row>
    <row r="128" spans="27:27" x14ac:dyDescent="0.2">
      <c r="AA128" s="1173" t="s">
        <v>746</v>
      </c>
    </row>
    <row r="129" spans="27:27" x14ac:dyDescent="0.2">
      <c r="AA129" s="1173" t="s">
        <v>747</v>
      </c>
    </row>
    <row r="130" spans="27:27" x14ac:dyDescent="0.2">
      <c r="AA130" s="1173" t="s">
        <v>748</v>
      </c>
    </row>
    <row r="131" spans="27:27" x14ac:dyDescent="0.2">
      <c r="AA131" s="1173" t="s">
        <v>749</v>
      </c>
    </row>
    <row r="132" spans="27:27" x14ac:dyDescent="0.2">
      <c r="AA132" s="1173" t="s">
        <v>750</v>
      </c>
    </row>
    <row r="133" spans="27:27" x14ac:dyDescent="0.2">
      <c r="AA133" s="1173" t="s">
        <v>751</v>
      </c>
    </row>
    <row r="134" spans="27:27" x14ac:dyDescent="0.2">
      <c r="AA134" s="1173" t="s">
        <v>752</v>
      </c>
    </row>
    <row r="135" spans="27:27" x14ac:dyDescent="0.2">
      <c r="AA135" s="1173" t="s">
        <v>753</v>
      </c>
    </row>
    <row r="136" spans="27:27" x14ac:dyDescent="0.2">
      <c r="AA136" s="1173" t="s">
        <v>754</v>
      </c>
    </row>
    <row r="137" spans="27:27" x14ac:dyDescent="0.2">
      <c r="AA137" s="1173" t="s">
        <v>755</v>
      </c>
    </row>
    <row r="138" spans="27:27" x14ac:dyDescent="0.2">
      <c r="AA138" s="1173" t="s">
        <v>756</v>
      </c>
    </row>
    <row r="139" spans="27:27" x14ac:dyDescent="0.2">
      <c r="AA139" s="1173" t="s">
        <v>757</v>
      </c>
    </row>
    <row r="140" spans="27:27" x14ac:dyDescent="0.2">
      <c r="AA140" s="1173" t="s">
        <v>758</v>
      </c>
    </row>
    <row r="141" spans="27:27" x14ac:dyDescent="0.2">
      <c r="AA141" s="1173" t="s">
        <v>759</v>
      </c>
    </row>
    <row r="142" spans="27:27" x14ac:dyDescent="0.2">
      <c r="AA142" s="1173" t="s">
        <v>760</v>
      </c>
    </row>
    <row r="143" spans="27:27" x14ac:dyDescent="0.2">
      <c r="AA143" s="1173" t="s">
        <v>761</v>
      </c>
    </row>
    <row r="144" spans="27:27" x14ac:dyDescent="0.2">
      <c r="AA144" s="1173" t="s">
        <v>762</v>
      </c>
    </row>
    <row r="145" spans="27:27" x14ac:dyDescent="0.2">
      <c r="AA145" s="1173" t="s">
        <v>763</v>
      </c>
    </row>
    <row r="146" spans="27:27" x14ac:dyDescent="0.2">
      <c r="AA146" s="1173" t="s">
        <v>764</v>
      </c>
    </row>
    <row r="147" spans="27:27" x14ac:dyDescent="0.2">
      <c r="AA147" s="1173" t="s">
        <v>765</v>
      </c>
    </row>
    <row r="148" spans="27:27" x14ac:dyDescent="0.2">
      <c r="AA148" s="1173" t="s">
        <v>766</v>
      </c>
    </row>
    <row r="149" spans="27:27" x14ac:dyDescent="0.2">
      <c r="AA149" s="1173" t="s">
        <v>767</v>
      </c>
    </row>
    <row r="150" spans="27:27" x14ac:dyDescent="0.2">
      <c r="AA150" s="1173" t="s">
        <v>768</v>
      </c>
    </row>
    <row r="151" spans="27:27" x14ac:dyDescent="0.2">
      <c r="AA151" s="1173" t="s">
        <v>769</v>
      </c>
    </row>
    <row r="152" spans="27:27" x14ac:dyDescent="0.2">
      <c r="AA152" s="1173" t="s">
        <v>770</v>
      </c>
    </row>
    <row r="153" spans="27:27" x14ac:dyDescent="0.2">
      <c r="AA153" s="1173" t="s">
        <v>771</v>
      </c>
    </row>
    <row r="154" spans="27:27" x14ac:dyDescent="0.2">
      <c r="AA154" s="1173" t="s">
        <v>772</v>
      </c>
    </row>
    <row r="155" spans="27:27" x14ac:dyDescent="0.2">
      <c r="AA155" s="1173" t="s">
        <v>773</v>
      </c>
    </row>
    <row r="156" spans="27:27" x14ac:dyDescent="0.2">
      <c r="AA156" s="1173" t="s">
        <v>774</v>
      </c>
    </row>
    <row r="157" spans="27:27" x14ac:dyDescent="0.2">
      <c r="AA157" s="1173" t="s">
        <v>775</v>
      </c>
    </row>
    <row r="158" spans="27:27" x14ac:dyDescent="0.2">
      <c r="AA158" s="1173" t="s">
        <v>776</v>
      </c>
    </row>
  </sheetData>
  <pageMargins left="0.7" right="0.7" top="0.75" bottom="0.75" header="0.3" footer="0.3"/>
  <pageSetup paperSize="9" orientation="portrait" r:id="rId1"/>
  <drawing r:id="rId2"/>
  <legacyDrawing r:id="rId3"/>
  <oleObjects>
    <mc:AlternateContent xmlns:mc="http://schemas.openxmlformats.org/markup-compatibility/2006">
      <mc:Choice Requires="x14">
        <oleObject progId="Packager Shell Object" dvAspect="DVASPECT_ICON" shapeId="60417" r:id="rId4">
          <objectPr defaultSize="0" r:id="rId5">
            <anchor moveWithCells="1">
              <from>
                <xdr:col>0</xdr:col>
                <xdr:colOff>0</xdr:colOff>
                <xdr:row>0</xdr:row>
                <xdr:rowOff>0</xdr:rowOff>
              </from>
              <to>
                <xdr:col>6</xdr:col>
                <xdr:colOff>447675</xdr:colOff>
                <xdr:row>3</xdr:row>
                <xdr:rowOff>28575</xdr:rowOff>
              </to>
            </anchor>
          </objectPr>
        </oleObject>
      </mc:Choice>
      <mc:Fallback>
        <oleObject progId="Packager Shell Object" dvAspect="DVASPECT_ICON" shapeId="60417" r:id="rId4"/>
      </mc:Fallback>
    </mc:AlternateContent>
    <mc:AlternateContent xmlns:mc="http://schemas.openxmlformats.org/markup-compatibility/2006">
      <mc:Choice Requires="x14">
        <oleObject progId="Packager Shell Object" dvAspect="DVASPECT_ICON" shapeId="60418" r:id="rId6">
          <objectPr defaultSize="0" r:id="rId7">
            <anchor moveWithCells="1">
              <from>
                <xdr:col>0</xdr:col>
                <xdr:colOff>0</xdr:colOff>
                <xdr:row>0</xdr:row>
                <xdr:rowOff>0</xdr:rowOff>
              </from>
              <to>
                <xdr:col>0</xdr:col>
                <xdr:colOff>561975</xdr:colOff>
                <xdr:row>3</xdr:row>
                <xdr:rowOff>28575</xdr:rowOff>
              </to>
            </anchor>
          </objectPr>
        </oleObject>
      </mc:Choice>
      <mc:Fallback>
        <oleObject progId="Packager Shell Object" dvAspect="DVASPECT_ICON" shapeId="60418" r:id="rId6"/>
      </mc:Fallback>
    </mc:AlternateContent>
    <mc:AlternateContent xmlns:mc="http://schemas.openxmlformats.org/markup-compatibility/2006">
      <mc:Choice Requires="x14">
        <oleObject progId="Packager Shell Object" dvAspect="DVASPECT_ICON" shapeId="60419" r:id="rId8">
          <objectPr defaultSize="0" r:id="rId9">
            <anchor moveWithCells="1">
              <from>
                <xdr:col>0</xdr:col>
                <xdr:colOff>0</xdr:colOff>
                <xdr:row>0</xdr:row>
                <xdr:rowOff>0</xdr:rowOff>
              </from>
              <to>
                <xdr:col>1</xdr:col>
                <xdr:colOff>409575</xdr:colOff>
                <xdr:row>3</xdr:row>
                <xdr:rowOff>28575</xdr:rowOff>
              </to>
            </anchor>
          </objectPr>
        </oleObject>
      </mc:Choice>
      <mc:Fallback>
        <oleObject progId="Packager Shell Object" dvAspect="DVASPECT_ICON" shapeId="60419" r:id="rId8"/>
      </mc:Fallback>
    </mc:AlternateContent>
    <mc:AlternateContent xmlns:mc="http://schemas.openxmlformats.org/markup-compatibility/2006">
      <mc:Choice Requires="x14">
        <oleObject progId="Packager Shell Object" dvAspect="DVASPECT_ICON" shapeId="60420" r:id="rId10">
          <objectPr defaultSize="0" r:id="rId11">
            <anchor moveWithCells="1">
              <from>
                <xdr:col>0</xdr:col>
                <xdr:colOff>0</xdr:colOff>
                <xdr:row>0</xdr:row>
                <xdr:rowOff>0</xdr:rowOff>
              </from>
              <to>
                <xdr:col>1</xdr:col>
                <xdr:colOff>342900</xdr:colOff>
                <xdr:row>3</xdr:row>
                <xdr:rowOff>28575</xdr:rowOff>
              </to>
            </anchor>
          </objectPr>
        </oleObject>
      </mc:Choice>
      <mc:Fallback>
        <oleObject progId="Packager Shell Object" dvAspect="DVASPECT_ICON" shapeId="60420" r:id="rId10"/>
      </mc:Fallback>
    </mc:AlternateContent>
  </oleObjec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tabColor indexed="11"/>
  </sheetPr>
  <dimension ref="A1:AJ287"/>
  <sheetViews>
    <sheetView showGridLines="0" view="pageBreakPreview" topLeftCell="A7" zoomScale="62" zoomScaleNormal="70" zoomScaleSheetLayoutView="62" workbookViewId="0">
      <selection activeCell="O33" sqref="O33"/>
    </sheetView>
  </sheetViews>
  <sheetFormatPr defaultColWidth="9.140625" defaultRowHeight="12.75" x14ac:dyDescent="0.2"/>
  <cols>
    <col min="1" max="2" width="0.140625" style="8" customWidth="1"/>
    <col min="3" max="3" width="14.85546875" style="390" customWidth="1"/>
    <col min="4" max="4" width="52.85546875" style="7" customWidth="1"/>
    <col min="5" max="5" width="24.85546875" style="7" customWidth="1"/>
    <col min="6" max="6" width="16.140625" style="7" customWidth="1"/>
    <col min="7" max="7" width="15.140625" style="391" customWidth="1"/>
    <col min="8" max="10" width="13.42578125" style="7" customWidth="1"/>
    <col min="11" max="13" width="16.140625" style="7" customWidth="1"/>
    <col min="14" max="14" width="21.7109375" style="7" customWidth="1"/>
    <col min="15" max="16" width="16.140625" style="7" customWidth="1"/>
    <col min="17" max="17" width="22.85546875" style="7" customWidth="1"/>
    <col min="18" max="18" width="67.85546875" style="7" customWidth="1"/>
    <col min="19" max="19" width="22.5703125" style="8" customWidth="1"/>
    <col min="20" max="22" width="21.140625" style="8" customWidth="1"/>
    <col min="23" max="23" width="22" style="8" customWidth="1"/>
    <col min="24" max="24" width="36.140625" style="8" customWidth="1"/>
    <col min="25" max="25" width="78" style="8" customWidth="1"/>
    <col min="26" max="26" width="26.85546875" style="8" hidden="1" customWidth="1"/>
    <col min="27" max="27" width="47.5703125" style="8" hidden="1" customWidth="1"/>
    <col min="28" max="30" width="9.42578125" style="8" hidden="1" customWidth="1"/>
    <col min="31" max="31" width="25.42578125" style="8" hidden="1" customWidth="1"/>
    <col min="32" max="32" width="0.42578125" style="8" hidden="1" customWidth="1"/>
    <col min="33" max="33" width="10.42578125" style="368" hidden="1" customWidth="1"/>
    <col min="34" max="34" width="12.42578125" style="8" hidden="1" customWidth="1"/>
    <col min="35" max="35" width="0.42578125" style="8" customWidth="1"/>
    <col min="36" max="36" width="9.140625" style="368" customWidth="1"/>
    <col min="37" max="37" width="9.140625" style="8" customWidth="1"/>
    <col min="38" max="16384" width="9.140625" style="8"/>
  </cols>
  <sheetData>
    <row r="1" spans="1:36" ht="15.75" customHeight="1" x14ac:dyDescent="0.2">
      <c r="C1" s="1405"/>
      <c r="D1" s="1405"/>
      <c r="E1" s="1405"/>
      <c r="F1" s="1405"/>
      <c r="G1" s="1405"/>
      <c r="H1" s="1405"/>
      <c r="I1" s="1405"/>
      <c r="J1" s="1405"/>
      <c r="K1" s="1405"/>
      <c r="L1" s="1405"/>
      <c r="M1" s="385"/>
      <c r="N1" s="385"/>
      <c r="O1" s="385"/>
      <c r="P1" s="385"/>
      <c r="Q1" s="385"/>
      <c r="R1" s="385"/>
    </row>
    <row r="2" spans="1:36" ht="35.25" customHeight="1" x14ac:dyDescent="0.2">
      <c r="A2" s="14"/>
      <c r="C2" s="1408" t="str">
        <f>IF(CoverSheet!J12="N/A","Progress Report","Progress Report with Disbursement Request")</f>
        <v>Progress Report with Disbursement Request</v>
      </c>
      <c r="D2" s="1408"/>
      <c r="E2" s="1408"/>
      <c r="F2" s="1408"/>
      <c r="G2" s="1408"/>
      <c r="H2" s="1408"/>
      <c r="I2" s="1408"/>
      <c r="J2" s="1408"/>
      <c r="K2" s="1408"/>
      <c r="L2" s="1408"/>
      <c r="M2" s="385"/>
      <c r="N2" s="385"/>
      <c r="O2" s="385"/>
      <c r="P2" s="385"/>
      <c r="Q2" s="385"/>
      <c r="R2" s="385"/>
    </row>
    <row r="3" spans="1:36" ht="30" customHeight="1" x14ac:dyDescent="0.2">
      <c r="B3" s="14"/>
      <c r="C3" s="1411" t="s">
        <v>168</v>
      </c>
      <c r="D3" s="1411"/>
      <c r="E3" s="386"/>
      <c r="F3" s="386"/>
      <c r="G3" s="386"/>
      <c r="H3" s="386"/>
      <c r="I3" s="386"/>
      <c r="J3" s="386"/>
      <c r="K3" s="386"/>
      <c r="L3" s="386"/>
      <c r="M3" s="386"/>
      <c r="N3" s="386"/>
      <c r="O3" s="386"/>
      <c r="P3" s="386"/>
      <c r="Q3" s="386"/>
      <c r="R3" s="386"/>
      <c r="S3" s="386"/>
      <c r="T3" s="386"/>
      <c r="U3" s="386"/>
      <c r="V3" s="386"/>
      <c r="W3" s="386"/>
      <c r="X3" s="386"/>
      <c r="Y3" s="386"/>
      <c r="Z3" s="90"/>
      <c r="AA3" s="90"/>
      <c r="AB3" s="90"/>
      <c r="AC3" s="90"/>
      <c r="AD3" s="90"/>
      <c r="AE3" s="90"/>
    </row>
    <row r="4" spans="1:36" ht="6" hidden="1" customHeight="1" x14ac:dyDescent="0.2">
      <c r="C4" s="12"/>
      <c r="D4" s="386"/>
      <c r="E4" s="386"/>
      <c r="F4" s="386"/>
      <c r="G4" s="386"/>
      <c r="H4" s="386"/>
      <c r="I4" s="386"/>
      <c r="J4" s="386"/>
      <c r="K4" s="386"/>
      <c r="L4" s="386"/>
      <c r="M4" s="386"/>
      <c r="N4" s="386"/>
      <c r="O4" s="386"/>
      <c r="P4" s="386"/>
      <c r="Q4" s="386"/>
      <c r="R4" s="386"/>
      <c r="S4" s="386"/>
      <c r="T4" s="386"/>
      <c r="U4" s="386"/>
      <c r="V4" s="386"/>
      <c r="W4" s="386"/>
      <c r="X4" s="386"/>
      <c r="Y4" s="386"/>
    </row>
    <row r="5" spans="1:36" s="14" customFormat="1" ht="50.25" customHeight="1" thickBot="1" x14ac:dyDescent="0.25">
      <c r="C5" s="411" t="s">
        <v>532</v>
      </c>
      <c r="D5" s="411"/>
      <c r="E5" s="411"/>
      <c r="F5" s="411"/>
      <c r="G5" s="411"/>
      <c r="H5" s="13"/>
      <c r="I5" s="13"/>
      <c r="J5" s="13"/>
      <c r="K5" s="13"/>
      <c r="L5" s="13"/>
      <c r="M5" s="13"/>
      <c r="N5" s="13"/>
      <c r="O5" s="13"/>
      <c r="P5" s="13"/>
      <c r="Q5" s="13"/>
      <c r="R5" s="13"/>
      <c r="AG5" s="387"/>
      <c r="AJ5" s="387"/>
    </row>
    <row r="6" spans="1:36" ht="29.25" customHeight="1" thickBot="1" x14ac:dyDescent="0.25">
      <c r="A6" s="418"/>
      <c r="B6" s="420"/>
      <c r="C6" s="1406" t="s">
        <v>169</v>
      </c>
      <c r="D6" s="1407"/>
      <c r="E6" s="1407"/>
      <c r="F6" s="1407"/>
      <c r="G6" s="1407"/>
      <c r="H6" s="1407"/>
      <c r="I6" s="1407"/>
      <c r="J6" s="1407"/>
      <c r="K6" s="1407"/>
      <c r="L6" s="1407"/>
      <c r="M6" s="1407"/>
      <c r="N6" s="1407"/>
      <c r="O6" s="1407"/>
      <c r="P6" s="1407"/>
      <c r="Q6" s="1407"/>
      <c r="R6" s="1407"/>
      <c r="S6" s="1397"/>
      <c r="T6" s="1397"/>
      <c r="U6" s="1397"/>
      <c r="V6" s="1397"/>
      <c r="W6" s="1397"/>
      <c r="X6" s="1397"/>
      <c r="Y6" s="1397"/>
      <c r="Z6" s="1392"/>
      <c r="AA6" s="1393"/>
      <c r="AB6" s="1393"/>
      <c r="AC6" s="1393"/>
      <c r="AD6" s="1393"/>
      <c r="AE6" s="1394"/>
      <c r="AF6" s="412"/>
      <c r="AG6" s="413"/>
      <c r="AH6" s="412"/>
      <c r="AI6" s="388"/>
    </row>
    <row r="7" spans="1:36" ht="31.5" customHeight="1" x14ac:dyDescent="0.2">
      <c r="A7" s="419"/>
      <c r="B7" s="421"/>
      <c r="C7" s="1400" t="s">
        <v>53</v>
      </c>
      <c r="D7" s="1400" t="s">
        <v>533</v>
      </c>
      <c r="E7" s="1400" t="s">
        <v>534</v>
      </c>
      <c r="F7" s="1400" t="s">
        <v>196</v>
      </c>
      <c r="G7" s="1400"/>
      <c r="H7" s="1412" t="s">
        <v>91</v>
      </c>
      <c r="I7" s="1413"/>
      <c r="J7" s="1414"/>
      <c r="K7" s="1400" t="s">
        <v>59</v>
      </c>
      <c r="L7" s="1400" t="s">
        <v>30</v>
      </c>
      <c r="M7" s="1412" t="s">
        <v>232</v>
      </c>
      <c r="N7" s="1413"/>
      <c r="O7" s="1414"/>
      <c r="P7" s="1400" t="s">
        <v>228</v>
      </c>
      <c r="Q7" s="1400" t="s">
        <v>358</v>
      </c>
      <c r="R7" s="1400" t="s">
        <v>31</v>
      </c>
      <c r="S7" s="1398" t="s">
        <v>24</v>
      </c>
      <c r="T7" s="1402" t="s">
        <v>13</v>
      </c>
      <c r="U7" s="1403"/>
      <c r="V7" s="1404"/>
      <c r="W7" s="1398" t="s">
        <v>228</v>
      </c>
      <c r="X7" s="1398" t="s">
        <v>358</v>
      </c>
      <c r="Y7" s="1398" t="s">
        <v>19</v>
      </c>
      <c r="Z7" s="1395"/>
      <c r="AA7" s="1395"/>
      <c r="AB7" s="1395"/>
      <c r="AC7" s="1395"/>
      <c r="AD7" s="1395"/>
      <c r="AE7" s="1395"/>
      <c r="AF7" s="14"/>
      <c r="AG7" s="387"/>
      <c r="AH7" s="14"/>
      <c r="AI7" s="389"/>
    </row>
    <row r="8" spans="1:36" ht="54" customHeight="1" x14ac:dyDescent="0.2">
      <c r="A8" s="419"/>
      <c r="B8" s="421"/>
      <c r="C8" s="1409"/>
      <c r="D8" s="1401"/>
      <c r="E8" s="1401"/>
      <c r="F8" s="1201" t="s">
        <v>357</v>
      </c>
      <c r="G8" s="1201" t="s">
        <v>323</v>
      </c>
      <c r="H8" s="535" t="s">
        <v>95</v>
      </c>
      <c r="I8" s="535" t="s">
        <v>96</v>
      </c>
      <c r="J8" s="535" t="s">
        <v>97</v>
      </c>
      <c r="K8" s="1401"/>
      <c r="L8" s="1401"/>
      <c r="M8" s="535" t="s">
        <v>95</v>
      </c>
      <c r="N8" s="535" t="s">
        <v>96</v>
      </c>
      <c r="O8" s="535" t="s">
        <v>97</v>
      </c>
      <c r="P8" s="1401"/>
      <c r="Q8" s="1401"/>
      <c r="R8" s="1410"/>
      <c r="S8" s="1399"/>
      <c r="T8" s="825" t="s">
        <v>95</v>
      </c>
      <c r="U8" s="825" t="s">
        <v>96</v>
      </c>
      <c r="V8" s="825" t="s">
        <v>97</v>
      </c>
      <c r="W8" s="1399"/>
      <c r="X8" s="1399"/>
      <c r="Y8" s="1399"/>
      <c r="Z8" s="1396"/>
      <c r="AA8" s="1396"/>
      <c r="AB8" s="1396"/>
      <c r="AC8" s="1396"/>
      <c r="AD8" s="1396"/>
      <c r="AE8" s="1396"/>
      <c r="AF8" s="540"/>
      <c r="AG8" s="541" t="s">
        <v>356</v>
      </c>
      <c r="AH8" s="14"/>
      <c r="AI8" s="389"/>
    </row>
    <row r="9" spans="1:36" ht="30" hidden="1" x14ac:dyDescent="0.2">
      <c r="A9" s="419"/>
      <c r="B9" s="421"/>
      <c r="C9" s="914" t="str">
        <f>"Impact"</f>
        <v>Impact</v>
      </c>
      <c r="D9" s="1202" t="s">
        <v>288</v>
      </c>
      <c r="E9" s="1203" t="s">
        <v>289</v>
      </c>
      <c r="F9" s="1203" t="s">
        <v>290</v>
      </c>
      <c r="G9" s="1203" t="s">
        <v>291</v>
      </c>
      <c r="H9" s="1204" t="s">
        <v>324</v>
      </c>
      <c r="I9" s="1204" t="s">
        <v>325</v>
      </c>
      <c r="J9" s="1205" t="s">
        <v>326</v>
      </c>
      <c r="K9" s="1203" t="s">
        <v>292</v>
      </c>
      <c r="L9" s="1206" t="s">
        <v>293</v>
      </c>
      <c r="M9" s="1207" t="s">
        <v>327</v>
      </c>
      <c r="N9" s="1207" t="s">
        <v>328</v>
      </c>
      <c r="O9" s="1208" t="str">
        <f>IFERROR((M9/N9)*100,"")</f>
        <v/>
      </c>
      <c r="P9" s="1197" t="s">
        <v>294</v>
      </c>
      <c r="Q9" s="1209" t="s">
        <v>295</v>
      </c>
      <c r="R9" s="1197" t="s">
        <v>296</v>
      </c>
      <c r="S9" s="1210" t="s">
        <v>297</v>
      </c>
      <c r="T9" s="1211" t="s">
        <v>370</v>
      </c>
      <c r="U9" s="1211" t="s">
        <v>330</v>
      </c>
      <c r="V9" s="1212" t="str">
        <f>IFERROR((T9/U9)*100,"")</f>
        <v/>
      </c>
      <c r="W9" s="1197" t="s">
        <v>298</v>
      </c>
      <c r="X9" s="1209" t="s">
        <v>299</v>
      </c>
      <c r="Y9" s="1197" t="s">
        <v>300</v>
      </c>
      <c r="Z9" s="1213"/>
      <c r="AA9" s="1214"/>
      <c r="AB9" s="1215"/>
      <c r="AC9" s="1215"/>
      <c r="AD9" s="1215"/>
      <c r="AE9" s="1215"/>
      <c r="AF9" s="1216"/>
      <c r="AG9" s="1217" t="s">
        <v>355</v>
      </c>
      <c r="AH9" s="495"/>
      <c r="AI9" s="496"/>
    </row>
    <row r="10" spans="1:36" ht="38.25" x14ac:dyDescent="0.2">
      <c r="A10" s="419"/>
      <c r="B10" s="421"/>
      <c r="C10" s="1200"/>
      <c r="D10" s="1202" t="s">
        <v>970</v>
      </c>
      <c r="E10" s="1203"/>
      <c r="F10" s="1203" t="s">
        <v>971</v>
      </c>
      <c r="G10" s="1203" t="s">
        <v>831</v>
      </c>
      <c r="H10" s="1204">
        <v>85</v>
      </c>
      <c r="I10" s="1204"/>
      <c r="J10" s="1205"/>
      <c r="K10" s="1203" t="s">
        <v>833</v>
      </c>
      <c r="L10" s="1206">
        <v>42643</v>
      </c>
      <c r="M10" s="1207"/>
      <c r="N10" s="1207"/>
      <c r="O10" s="1208" t="str">
        <f t="shared" ref="O10:O16" si="0">IFERROR((M10/N10)*100,"")</f>
        <v/>
      </c>
      <c r="P10" s="1197" t="s">
        <v>833</v>
      </c>
      <c r="Q10" s="1209"/>
      <c r="R10" s="1197" t="s">
        <v>1673</v>
      </c>
      <c r="S10" s="1210"/>
      <c r="T10" s="1211"/>
      <c r="U10" s="1211"/>
      <c r="V10" s="1212" t="str">
        <f t="shared" ref="V10:V16" si="1">IFERROR((T10/U10)*100,"")</f>
        <v/>
      </c>
      <c r="W10" s="1197"/>
      <c r="X10" s="1209"/>
      <c r="Y10" s="1197"/>
      <c r="Z10" s="1213"/>
      <c r="AA10" s="1214"/>
      <c r="AB10" s="1215"/>
      <c r="AC10" s="1215"/>
      <c r="AD10" s="1215"/>
      <c r="AE10" s="1215"/>
      <c r="AF10" s="1216"/>
      <c r="AG10" s="1217" t="s">
        <v>972</v>
      </c>
      <c r="AH10" s="495"/>
      <c r="AI10" s="496"/>
    </row>
    <row r="11" spans="1:36" ht="90" x14ac:dyDescent="0.2">
      <c r="A11" s="419"/>
      <c r="B11" s="421"/>
      <c r="C11" s="1200"/>
      <c r="D11" s="1202" t="s">
        <v>973</v>
      </c>
      <c r="E11" s="1203"/>
      <c r="F11" s="1203" t="s">
        <v>469</v>
      </c>
      <c r="G11" s="1203" t="s">
        <v>831</v>
      </c>
      <c r="H11" s="1204">
        <v>5.52</v>
      </c>
      <c r="I11" s="1204"/>
      <c r="J11" s="1205"/>
      <c r="K11" s="1203" t="s">
        <v>833</v>
      </c>
      <c r="L11" s="1206">
        <v>42613</v>
      </c>
      <c r="M11" s="1374">
        <v>1058</v>
      </c>
      <c r="N11" s="1374">
        <v>19760314</v>
      </c>
      <c r="O11" s="1208">
        <f>IFERROR((M11/N11)*100000,"")</f>
        <v>5.3541659307640552</v>
      </c>
      <c r="P11" s="1197" t="s">
        <v>833</v>
      </c>
      <c r="Q11" s="1209" t="s">
        <v>863</v>
      </c>
      <c r="R11" s="1197" t="s">
        <v>1674</v>
      </c>
      <c r="S11" s="1210"/>
      <c r="T11" s="1211"/>
      <c r="U11" s="1211"/>
      <c r="V11" s="1212" t="str">
        <f t="shared" si="1"/>
        <v/>
      </c>
      <c r="W11" s="1197"/>
      <c r="X11" s="1209"/>
      <c r="Y11" s="1197"/>
      <c r="Z11" s="1213"/>
      <c r="AA11" s="1214"/>
      <c r="AB11" s="1215"/>
      <c r="AC11" s="1215"/>
      <c r="AD11" s="1215"/>
      <c r="AE11" s="1215"/>
      <c r="AF11" s="1216"/>
      <c r="AG11" s="1217" t="s">
        <v>974</v>
      </c>
      <c r="AH11" s="495"/>
      <c r="AI11" s="496"/>
    </row>
    <row r="12" spans="1:36" ht="90" x14ac:dyDescent="0.2">
      <c r="A12" s="419"/>
      <c r="B12" s="421"/>
      <c r="C12" s="1200"/>
      <c r="D12" s="1202" t="s">
        <v>973</v>
      </c>
      <c r="E12" s="1203"/>
      <c r="F12" s="1203" t="s">
        <v>469</v>
      </c>
      <c r="G12" s="1203" t="s">
        <v>831</v>
      </c>
      <c r="H12" s="1204">
        <v>5.49</v>
      </c>
      <c r="I12" s="1204"/>
      <c r="J12" s="1205"/>
      <c r="K12" s="1203" t="s">
        <v>834</v>
      </c>
      <c r="L12" s="1206">
        <v>42978</v>
      </c>
      <c r="M12" s="1374">
        <v>972</v>
      </c>
      <c r="N12" s="1374">
        <v>19644350</v>
      </c>
      <c r="O12" s="1208">
        <f>IFERROR((M12/N12)*100000,"")</f>
        <v>4.947987589306849</v>
      </c>
      <c r="P12" s="1197" t="s">
        <v>834</v>
      </c>
      <c r="Q12" s="1209" t="s">
        <v>863</v>
      </c>
      <c r="R12" s="1197" t="s">
        <v>1675</v>
      </c>
      <c r="S12" s="1210"/>
      <c r="T12" s="1211"/>
      <c r="U12" s="1211"/>
      <c r="V12" s="1212" t="str">
        <f t="shared" si="1"/>
        <v/>
      </c>
      <c r="W12" s="1197"/>
      <c r="X12" s="1209"/>
      <c r="Y12" s="1197"/>
      <c r="Z12" s="1213"/>
      <c r="AA12" s="1214"/>
      <c r="AB12" s="1215"/>
      <c r="AC12" s="1215"/>
      <c r="AD12" s="1215"/>
      <c r="AE12" s="1215"/>
      <c r="AF12" s="1216"/>
      <c r="AG12" s="1217" t="s">
        <v>975</v>
      </c>
      <c r="AH12" s="495"/>
      <c r="AI12" s="496"/>
    </row>
    <row r="13" spans="1:36" ht="45" x14ac:dyDescent="0.2">
      <c r="A13" s="419"/>
      <c r="B13" s="421"/>
      <c r="C13" s="1200"/>
      <c r="D13" s="1202" t="s">
        <v>976</v>
      </c>
      <c r="E13" s="1203"/>
      <c r="F13" s="1203" t="s">
        <v>977</v>
      </c>
      <c r="G13" s="1203" t="s">
        <v>822</v>
      </c>
      <c r="H13" s="1204"/>
      <c r="I13" s="1204"/>
      <c r="J13" s="1205">
        <v>2.8</v>
      </c>
      <c r="K13" s="1203" t="s">
        <v>833</v>
      </c>
      <c r="L13" s="1206">
        <v>42606</v>
      </c>
      <c r="M13" s="1374">
        <v>95</v>
      </c>
      <c r="N13" s="1374">
        <v>7010</v>
      </c>
      <c r="O13" s="1208">
        <f t="shared" si="0"/>
        <v>1.3552068473609129</v>
      </c>
      <c r="P13" s="1197" t="s">
        <v>835</v>
      </c>
      <c r="Q13" s="1209" t="s">
        <v>870</v>
      </c>
      <c r="R13" s="1197" t="s">
        <v>1696</v>
      </c>
      <c r="S13" s="1210"/>
      <c r="T13" s="1211"/>
      <c r="U13" s="1211"/>
      <c r="V13" s="1212" t="str">
        <f t="shared" si="1"/>
        <v/>
      </c>
      <c r="W13" s="1197"/>
      <c r="X13" s="1209"/>
      <c r="Y13" s="1197"/>
      <c r="Z13" s="1213"/>
      <c r="AA13" s="1214"/>
      <c r="AB13" s="1215"/>
      <c r="AC13" s="1215"/>
      <c r="AD13" s="1215"/>
      <c r="AE13" s="1215"/>
      <c r="AF13" s="1216"/>
      <c r="AG13" s="1217" t="s">
        <v>978</v>
      </c>
      <c r="AH13" s="495"/>
      <c r="AI13" s="496"/>
    </row>
    <row r="14" spans="1:36" ht="45" x14ac:dyDescent="0.2">
      <c r="A14" s="419"/>
      <c r="B14" s="421"/>
      <c r="C14" s="1200"/>
      <c r="D14" s="1202" t="s">
        <v>976</v>
      </c>
      <c r="E14" s="1203"/>
      <c r="F14" s="1203" t="s">
        <v>977</v>
      </c>
      <c r="G14" s="1203" t="s">
        <v>822</v>
      </c>
      <c r="H14" s="1204"/>
      <c r="I14" s="1204"/>
      <c r="J14" s="1205">
        <v>2.8</v>
      </c>
      <c r="K14" s="1203" t="s">
        <v>834</v>
      </c>
      <c r="L14" s="1206">
        <v>42978</v>
      </c>
      <c r="M14" s="1374">
        <v>38</v>
      </c>
      <c r="N14" s="1374">
        <v>1494</v>
      </c>
      <c r="O14" s="1208">
        <f t="shared" si="0"/>
        <v>2.5435073627844713</v>
      </c>
      <c r="P14" s="1197" t="s">
        <v>834</v>
      </c>
      <c r="Q14" s="1209" t="s">
        <v>862</v>
      </c>
      <c r="R14" s="1197" t="s">
        <v>1676</v>
      </c>
      <c r="S14" s="1210"/>
      <c r="T14" s="1211"/>
      <c r="U14" s="1211"/>
      <c r="V14" s="1212" t="str">
        <f t="shared" si="1"/>
        <v/>
      </c>
      <c r="W14" s="1197"/>
      <c r="X14" s="1209"/>
      <c r="Y14" s="1197"/>
      <c r="Z14" s="1213"/>
      <c r="AA14" s="1214"/>
      <c r="AB14" s="1215"/>
      <c r="AC14" s="1215"/>
      <c r="AD14" s="1215"/>
      <c r="AE14" s="1215"/>
      <c r="AF14" s="1216"/>
      <c r="AG14" s="1217" t="s">
        <v>979</v>
      </c>
      <c r="AH14" s="495"/>
      <c r="AI14" s="496"/>
    </row>
    <row r="15" spans="1:36" ht="60" x14ac:dyDescent="0.2">
      <c r="A15" s="419"/>
      <c r="B15" s="421"/>
      <c r="C15" s="1200"/>
      <c r="D15" s="1202"/>
      <c r="E15" s="1203" t="s">
        <v>980</v>
      </c>
      <c r="F15" s="1203" t="s">
        <v>981</v>
      </c>
      <c r="G15" s="1203" t="s">
        <v>822</v>
      </c>
      <c r="H15" s="1204"/>
      <c r="I15" s="1204"/>
      <c r="J15" s="1205">
        <v>11</v>
      </c>
      <c r="K15" s="1203" t="s">
        <v>833</v>
      </c>
      <c r="L15" s="1206">
        <v>42613</v>
      </c>
      <c r="M15" s="1374">
        <v>52</v>
      </c>
      <c r="N15" s="1374">
        <v>481</v>
      </c>
      <c r="O15" s="1208">
        <f t="shared" si="0"/>
        <v>10.810810810810811</v>
      </c>
      <c r="P15" s="1197" t="s">
        <v>833</v>
      </c>
      <c r="Q15" s="1209" t="s">
        <v>862</v>
      </c>
      <c r="R15" s="1197" t="s">
        <v>1676</v>
      </c>
      <c r="S15" s="1210"/>
      <c r="T15" s="1211"/>
      <c r="U15" s="1211"/>
      <c r="V15" s="1212" t="str">
        <f t="shared" si="1"/>
        <v/>
      </c>
      <c r="W15" s="1197"/>
      <c r="X15" s="1209"/>
      <c r="Y15" s="1197"/>
      <c r="Z15" s="1213"/>
      <c r="AA15" s="1214"/>
      <c r="AB15" s="1215"/>
      <c r="AC15" s="1215"/>
      <c r="AD15" s="1215"/>
      <c r="AE15" s="1215"/>
      <c r="AF15" s="1216"/>
      <c r="AG15" s="1217" t="s">
        <v>982</v>
      </c>
      <c r="AH15" s="495"/>
      <c r="AI15" s="496"/>
    </row>
    <row r="16" spans="1:36" ht="60" x14ac:dyDescent="0.2">
      <c r="A16" s="419"/>
      <c r="B16" s="421"/>
      <c r="C16" s="1200"/>
      <c r="D16" s="1202"/>
      <c r="E16" s="1203" t="s">
        <v>980</v>
      </c>
      <c r="F16" s="1203" t="s">
        <v>981</v>
      </c>
      <c r="G16" s="1203" t="s">
        <v>822</v>
      </c>
      <c r="H16" s="1204"/>
      <c r="I16" s="1204"/>
      <c r="J16" s="1205">
        <v>11</v>
      </c>
      <c r="K16" s="1203" t="s">
        <v>834</v>
      </c>
      <c r="L16" s="1206">
        <v>42978</v>
      </c>
      <c r="M16" s="1374">
        <v>254</v>
      </c>
      <c r="N16" s="1374">
        <v>2136</v>
      </c>
      <c r="O16" s="1208">
        <f t="shared" si="0"/>
        <v>11.891385767790261</v>
      </c>
      <c r="P16" s="1197" t="s">
        <v>835</v>
      </c>
      <c r="Q16" s="1209" t="s">
        <v>862</v>
      </c>
      <c r="R16" s="1197" t="s">
        <v>1697</v>
      </c>
      <c r="S16" s="1210"/>
      <c r="T16" s="1211"/>
      <c r="U16" s="1211"/>
      <c r="V16" s="1212" t="str">
        <f t="shared" si="1"/>
        <v/>
      </c>
      <c r="W16" s="1197"/>
      <c r="X16" s="1209"/>
      <c r="Y16" s="1197"/>
      <c r="Z16" s="1213"/>
      <c r="AA16" s="1214"/>
      <c r="AB16" s="1215"/>
      <c r="AC16" s="1215"/>
      <c r="AD16" s="1215"/>
      <c r="AE16" s="1215"/>
      <c r="AF16" s="1216"/>
      <c r="AG16" s="1217" t="s">
        <v>983</v>
      </c>
      <c r="AH16" s="495"/>
      <c r="AI16" s="496"/>
    </row>
    <row r="17" spans="1:35" ht="36.75" hidden="1" customHeight="1" x14ac:dyDescent="0.2">
      <c r="A17" s="1389" t="s">
        <v>302</v>
      </c>
      <c r="B17" s="1390"/>
      <c r="C17" s="1390"/>
      <c r="D17" s="1391"/>
      <c r="E17" s="1391"/>
      <c r="F17" s="1391"/>
      <c r="G17" s="1391"/>
      <c r="H17" s="1391"/>
      <c r="I17" s="1391"/>
      <c r="J17" s="1391"/>
      <c r="K17" s="1391"/>
      <c r="L17" s="1391"/>
      <c r="M17" s="1391"/>
      <c r="N17" s="1391"/>
      <c r="O17" s="1391"/>
      <c r="P17" s="1391"/>
      <c r="Q17" s="1391"/>
      <c r="R17" s="1391"/>
      <c r="S17" s="1391"/>
      <c r="T17" s="1391"/>
      <c r="U17" s="1391"/>
      <c r="V17" s="1391"/>
      <c r="W17" s="1391"/>
      <c r="X17" s="1391"/>
      <c r="Y17" s="1391"/>
      <c r="Z17" s="1218"/>
      <c r="AA17" s="1218"/>
      <c r="AB17" s="1218"/>
      <c r="AC17" s="1218"/>
      <c r="AD17" s="1218"/>
      <c r="AE17" s="1218"/>
      <c r="AF17" s="540"/>
      <c r="AG17" s="541" t="s">
        <v>356</v>
      </c>
      <c r="AH17" s="14"/>
      <c r="AI17" s="389"/>
    </row>
    <row r="18" spans="1:35" ht="30" hidden="1" x14ac:dyDescent="0.2">
      <c r="A18" s="419"/>
      <c r="B18" s="421"/>
      <c r="C18" s="914" t="str">
        <f>"Outcome"</f>
        <v>Outcome</v>
      </c>
      <c r="D18" s="1202" t="s">
        <v>303</v>
      </c>
      <c r="E18" s="1203" t="s">
        <v>304</v>
      </c>
      <c r="F18" s="1203" t="s">
        <v>290</v>
      </c>
      <c r="G18" s="1203" t="s">
        <v>291</v>
      </c>
      <c r="H18" s="1204" t="s">
        <v>324</v>
      </c>
      <c r="I18" s="1204" t="s">
        <v>325</v>
      </c>
      <c r="J18" s="1205" t="s">
        <v>326</v>
      </c>
      <c r="K18" s="1203" t="s">
        <v>292</v>
      </c>
      <c r="L18" s="1206" t="s">
        <v>293</v>
      </c>
      <c r="M18" s="1207" t="s">
        <v>327</v>
      </c>
      <c r="N18" s="1207" t="s">
        <v>328</v>
      </c>
      <c r="O18" s="1208" t="str">
        <f>IFERROR((M18/N18)*100,"")</f>
        <v/>
      </c>
      <c r="P18" s="1197" t="s">
        <v>294</v>
      </c>
      <c r="Q18" s="1209" t="s">
        <v>295</v>
      </c>
      <c r="R18" s="1197" t="s">
        <v>296</v>
      </c>
      <c r="S18" s="1210" t="s">
        <v>297</v>
      </c>
      <c r="T18" s="1211" t="s">
        <v>370</v>
      </c>
      <c r="U18" s="1211" t="s">
        <v>330</v>
      </c>
      <c r="V18" s="1212" t="str">
        <f>IFERROR((T18/U18)*100,"")</f>
        <v/>
      </c>
      <c r="W18" s="1197" t="s">
        <v>298</v>
      </c>
      <c r="X18" s="1209" t="s">
        <v>299</v>
      </c>
      <c r="Y18" s="1197" t="s">
        <v>300</v>
      </c>
      <c r="Z18" s="1219"/>
      <c r="AA18" s="1220"/>
      <c r="AB18" s="1221"/>
      <c r="AC18" s="1221"/>
      <c r="AD18" s="1221"/>
      <c r="AE18" s="1221"/>
      <c r="AF18" s="540"/>
      <c r="AG18" s="541" t="s">
        <v>355</v>
      </c>
      <c r="AH18" s="14"/>
      <c r="AI18" s="389"/>
    </row>
    <row r="19" spans="1:35" ht="135" x14ac:dyDescent="0.2">
      <c r="A19" s="419"/>
      <c r="B19" s="421"/>
      <c r="C19" s="1200"/>
      <c r="D19" s="1202" t="s">
        <v>984</v>
      </c>
      <c r="E19" s="1203"/>
      <c r="F19" s="1203" t="s">
        <v>985</v>
      </c>
      <c r="G19" s="1203" t="s">
        <v>831</v>
      </c>
      <c r="H19" s="1204">
        <v>76.83</v>
      </c>
      <c r="I19" s="1204"/>
      <c r="J19" s="1205"/>
      <c r="K19" s="1203" t="s">
        <v>833</v>
      </c>
      <c r="L19" s="1206">
        <v>42597</v>
      </c>
      <c r="M19" s="1374">
        <v>15195</v>
      </c>
      <c r="N19" s="1374">
        <v>20000000</v>
      </c>
      <c r="O19" s="1208">
        <f>IFERROR((M19/N19)*100000,"")</f>
        <v>75.974999999999994</v>
      </c>
      <c r="P19" s="1197" t="s">
        <v>833</v>
      </c>
      <c r="Q19" s="1209" t="s">
        <v>863</v>
      </c>
      <c r="R19" s="1197" t="s">
        <v>1677</v>
      </c>
      <c r="S19" s="1210"/>
      <c r="T19" s="1211"/>
      <c r="U19" s="1211"/>
      <c r="V19" s="1212" t="str">
        <f t="shared" ref="V19:V25" si="2">IFERROR((T19/U19)*100,"")</f>
        <v/>
      </c>
      <c r="W19" s="1197"/>
      <c r="X19" s="1209"/>
      <c r="Y19" s="1197"/>
      <c r="Z19" s="1219"/>
      <c r="AA19" s="1220"/>
      <c r="AB19" s="1221"/>
      <c r="AC19" s="1221"/>
      <c r="AD19" s="1221"/>
      <c r="AE19" s="1221"/>
      <c r="AF19" s="540"/>
      <c r="AG19" s="541" t="s">
        <v>986</v>
      </c>
      <c r="AH19" s="14"/>
      <c r="AI19" s="389"/>
    </row>
    <row r="20" spans="1:35" ht="75" x14ac:dyDescent="0.2">
      <c r="A20" s="419"/>
      <c r="B20" s="421"/>
      <c r="C20" s="1200"/>
      <c r="D20" s="1202" t="s">
        <v>984</v>
      </c>
      <c r="E20" s="1203"/>
      <c r="F20" s="1203" t="s">
        <v>985</v>
      </c>
      <c r="G20" s="1203" t="s">
        <v>831</v>
      </c>
      <c r="H20" s="1204">
        <v>76.84</v>
      </c>
      <c r="I20" s="1204"/>
      <c r="J20" s="1205"/>
      <c r="K20" s="1203" t="s">
        <v>834</v>
      </c>
      <c r="L20" s="1206">
        <v>42962</v>
      </c>
      <c r="M20" s="1374">
        <v>12310</v>
      </c>
      <c r="N20" s="1374">
        <v>19706529</v>
      </c>
      <c r="O20" s="1208">
        <f>IFERROR((M20/N20)*100000,"")</f>
        <v>62.466606879374851</v>
      </c>
      <c r="P20" s="1197" t="s">
        <v>835</v>
      </c>
      <c r="Q20" s="1209" t="s">
        <v>863</v>
      </c>
      <c r="R20" s="1197" t="s">
        <v>1698</v>
      </c>
      <c r="S20" s="1210"/>
      <c r="T20" s="1211"/>
      <c r="U20" s="1211"/>
      <c r="V20" s="1212" t="str">
        <f t="shared" si="2"/>
        <v/>
      </c>
      <c r="W20" s="1197"/>
      <c r="X20" s="1209"/>
      <c r="Y20" s="1197"/>
      <c r="Z20" s="1219"/>
      <c r="AA20" s="1220"/>
      <c r="AB20" s="1221"/>
      <c r="AC20" s="1221"/>
      <c r="AD20" s="1221"/>
      <c r="AE20" s="1221"/>
      <c r="AF20" s="540"/>
      <c r="AG20" s="541" t="s">
        <v>987</v>
      </c>
      <c r="AH20" s="14"/>
      <c r="AI20" s="389"/>
    </row>
    <row r="21" spans="1:35" ht="45" x14ac:dyDescent="0.2">
      <c r="A21" s="419"/>
      <c r="B21" s="421"/>
      <c r="C21" s="1200"/>
      <c r="D21" s="1202" t="s">
        <v>988</v>
      </c>
      <c r="E21" s="1203"/>
      <c r="F21" s="1203" t="s">
        <v>989</v>
      </c>
      <c r="G21" s="1203" t="s">
        <v>831</v>
      </c>
      <c r="H21" s="1204">
        <v>49.7</v>
      </c>
      <c r="I21" s="1204"/>
      <c r="J21" s="1205"/>
      <c r="K21" s="1203" t="s">
        <v>833</v>
      </c>
      <c r="L21" s="1206">
        <v>42597</v>
      </c>
      <c r="M21" s="1207"/>
      <c r="N21" s="1207"/>
      <c r="O21" s="1208" t="str">
        <f t="shared" ref="O21:O25" si="3">IFERROR((M21/N21)*100,"")</f>
        <v/>
      </c>
      <c r="P21" s="1197" t="s">
        <v>833</v>
      </c>
      <c r="Q21" s="1209"/>
      <c r="R21" s="1197" t="s">
        <v>1673</v>
      </c>
      <c r="S21" s="1210"/>
      <c r="T21" s="1211"/>
      <c r="U21" s="1211"/>
      <c r="V21" s="1212" t="str">
        <f t="shared" si="2"/>
        <v/>
      </c>
      <c r="W21" s="1197"/>
      <c r="X21" s="1209"/>
      <c r="Y21" s="1197"/>
      <c r="Z21" s="1219"/>
      <c r="AA21" s="1220"/>
      <c r="AB21" s="1221"/>
      <c r="AC21" s="1221"/>
      <c r="AD21" s="1221"/>
      <c r="AE21" s="1221"/>
      <c r="AF21" s="540"/>
      <c r="AG21" s="541" t="s">
        <v>990</v>
      </c>
      <c r="AH21" s="14"/>
      <c r="AI21" s="389"/>
    </row>
    <row r="22" spans="1:35" ht="30" x14ac:dyDescent="0.2">
      <c r="A22" s="419"/>
      <c r="B22" s="421"/>
      <c r="C22" s="1200"/>
      <c r="D22" s="1202" t="s">
        <v>991</v>
      </c>
      <c r="E22" s="1203"/>
      <c r="F22" s="1203" t="s">
        <v>992</v>
      </c>
      <c r="G22" s="1203" t="s">
        <v>831</v>
      </c>
      <c r="H22" s="1204"/>
      <c r="I22" s="1204"/>
      <c r="J22" s="1205">
        <v>86</v>
      </c>
      <c r="K22" s="1203" t="s">
        <v>833</v>
      </c>
      <c r="L22" s="1206">
        <v>42597</v>
      </c>
      <c r="M22" s="1207"/>
      <c r="N22" s="1207"/>
      <c r="O22" s="1208" t="str">
        <f t="shared" si="3"/>
        <v/>
      </c>
      <c r="P22" s="1197" t="s">
        <v>833</v>
      </c>
      <c r="Q22" s="1209"/>
      <c r="R22" s="1197" t="s">
        <v>1673</v>
      </c>
      <c r="S22" s="1210"/>
      <c r="T22" s="1211"/>
      <c r="U22" s="1211"/>
      <c r="V22" s="1212" t="str">
        <f t="shared" si="2"/>
        <v/>
      </c>
      <c r="W22" s="1197"/>
      <c r="X22" s="1209"/>
      <c r="Y22" s="1197"/>
      <c r="Z22" s="1219"/>
      <c r="AA22" s="1220"/>
      <c r="AB22" s="1221"/>
      <c r="AC22" s="1221"/>
      <c r="AD22" s="1221"/>
      <c r="AE22" s="1221"/>
      <c r="AF22" s="540"/>
      <c r="AG22" s="541" t="s">
        <v>993</v>
      </c>
      <c r="AH22" s="14"/>
      <c r="AI22" s="389"/>
    </row>
    <row r="23" spans="1:35" ht="90" x14ac:dyDescent="0.2">
      <c r="A23" s="419"/>
      <c r="B23" s="421"/>
      <c r="C23" s="1200"/>
      <c r="D23" s="1202" t="s">
        <v>994</v>
      </c>
      <c r="E23" s="1203"/>
      <c r="F23" s="1203" t="s">
        <v>995</v>
      </c>
      <c r="G23" s="1203" t="s">
        <v>831</v>
      </c>
      <c r="H23" s="1204"/>
      <c r="I23" s="1204"/>
      <c r="J23" s="1205">
        <v>80</v>
      </c>
      <c r="K23" s="1203" t="s">
        <v>833</v>
      </c>
      <c r="L23" s="1206">
        <v>42597</v>
      </c>
      <c r="M23" s="1207"/>
      <c r="N23" s="1207"/>
      <c r="O23" s="1208" t="str">
        <f t="shared" si="3"/>
        <v/>
      </c>
      <c r="P23" s="1197" t="s">
        <v>833</v>
      </c>
      <c r="Q23" s="1209"/>
      <c r="R23" s="1197" t="s">
        <v>1673</v>
      </c>
      <c r="S23" s="1210"/>
      <c r="T23" s="1211"/>
      <c r="U23" s="1211"/>
      <c r="V23" s="1212" t="str">
        <f t="shared" si="2"/>
        <v/>
      </c>
      <c r="W23" s="1197"/>
      <c r="X23" s="1209"/>
      <c r="Y23" s="1197"/>
      <c r="Z23" s="1219"/>
      <c r="AA23" s="1220"/>
      <c r="AB23" s="1221"/>
      <c r="AC23" s="1221"/>
      <c r="AD23" s="1221"/>
      <c r="AE23" s="1221"/>
      <c r="AF23" s="540"/>
      <c r="AG23" s="541" t="s">
        <v>996</v>
      </c>
      <c r="AH23" s="14"/>
      <c r="AI23" s="389"/>
    </row>
    <row r="24" spans="1:35" ht="90" x14ac:dyDescent="0.2">
      <c r="A24" s="419"/>
      <c r="B24" s="421"/>
      <c r="C24" s="1200"/>
      <c r="D24" s="1202" t="s">
        <v>997</v>
      </c>
      <c r="E24" s="1203"/>
      <c r="F24" s="1203" t="s">
        <v>998</v>
      </c>
      <c r="G24" s="1203" t="s">
        <v>831</v>
      </c>
      <c r="H24" s="1204"/>
      <c r="I24" s="1204"/>
      <c r="J24" s="1205">
        <v>50</v>
      </c>
      <c r="K24" s="1203" t="s">
        <v>833</v>
      </c>
      <c r="L24" s="1206">
        <v>42597</v>
      </c>
      <c r="M24" s="1374">
        <v>246</v>
      </c>
      <c r="N24" s="1374">
        <v>602</v>
      </c>
      <c r="O24" s="1208">
        <f t="shared" si="3"/>
        <v>40.863787375415285</v>
      </c>
      <c r="P24" s="1197" t="s">
        <v>833</v>
      </c>
      <c r="Q24" s="1209" t="s">
        <v>863</v>
      </c>
      <c r="R24" s="1197" t="s">
        <v>1678</v>
      </c>
      <c r="S24" s="1210"/>
      <c r="T24" s="1211"/>
      <c r="U24" s="1211"/>
      <c r="V24" s="1212" t="str">
        <f t="shared" si="2"/>
        <v/>
      </c>
      <c r="W24" s="1197"/>
      <c r="X24" s="1209"/>
      <c r="Y24" s="1197"/>
      <c r="Z24" s="1219"/>
      <c r="AA24" s="1220"/>
      <c r="AB24" s="1221"/>
      <c r="AC24" s="1221"/>
      <c r="AD24" s="1221"/>
      <c r="AE24" s="1221"/>
      <c r="AF24" s="540"/>
      <c r="AG24" s="541" t="s">
        <v>999</v>
      </c>
      <c r="AH24" s="14"/>
      <c r="AI24" s="389"/>
    </row>
    <row r="25" spans="1:35" ht="90" x14ac:dyDescent="0.2">
      <c r="A25" s="419"/>
      <c r="B25" s="421"/>
      <c r="C25" s="1200"/>
      <c r="D25" s="1202" t="s">
        <v>997</v>
      </c>
      <c r="E25" s="1203"/>
      <c r="F25" s="1203" t="s">
        <v>998</v>
      </c>
      <c r="G25" s="1203" t="s">
        <v>831</v>
      </c>
      <c r="H25" s="1204"/>
      <c r="I25" s="1204"/>
      <c r="J25" s="1205">
        <v>55</v>
      </c>
      <c r="K25" s="1203" t="s">
        <v>834</v>
      </c>
      <c r="L25" s="1206">
        <v>42962</v>
      </c>
      <c r="M25" s="1374">
        <v>249</v>
      </c>
      <c r="N25" s="1374">
        <v>602</v>
      </c>
      <c r="O25" s="1208">
        <f t="shared" si="3"/>
        <v>41.362126245847172</v>
      </c>
      <c r="P25" s="1197" t="s">
        <v>835</v>
      </c>
      <c r="Q25" s="1209" t="s">
        <v>863</v>
      </c>
      <c r="R25" s="1197" t="s">
        <v>1699</v>
      </c>
      <c r="S25" s="1210"/>
      <c r="T25" s="1211"/>
      <c r="U25" s="1211"/>
      <c r="V25" s="1212" t="str">
        <f t="shared" si="2"/>
        <v/>
      </c>
      <c r="W25" s="1197"/>
      <c r="X25" s="1209"/>
      <c r="Y25" s="1197"/>
      <c r="Z25" s="1219"/>
      <c r="AA25" s="1220"/>
      <c r="AB25" s="1221"/>
      <c r="AC25" s="1221"/>
      <c r="AD25" s="1221"/>
      <c r="AE25" s="1221"/>
      <c r="AF25" s="540"/>
      <c r="AG25" s="541" t="s">
        <v>1000</v>
      </c>
      <c r="AH25" s="14"/>
      <c r="AI25" s="389"/>
    </row>
    <row r="26" spans="1:35" ht="2.4500000000000002" customHeight="1" thickBot="1" x14ac:dyDescent="0.25">
      <c r="A26" s="414"/>
      <c r="B26" s="415"/>
      <c r="C26" s="415"/>
      <c r="D26" s="415"/>
      <c r="E26" s="415"/>
      <c r="F26" s="415"/>
      <c r="G26" s="415"/>
      <c r="H26" s="415"/>
      <c r="I26" s="415"/>
      <c r="J26" s="415"/>
      <c r="K26" s="415"/>
      <c r="L26" s="415"/>
      <c r="M26" s="415"/>
      <c r="N26" s="415"/>
      <c r="O26" s="415"/>
      <c r="P26" s="415"/>
      <c r="Q26" s="415"/>
      <c r="R26" s="415"/>
      <c r="S26" s="415"/>
      <c r="T26" s="415"/>
      <c r="U26" s="415"/>
      <c r="V26" s="415"/>
      <c r="W26" s="415"/>
      <c r="X26" s="415"/>
      <c r="Y26" s="415"/>
      <c r="Z26" s="415"/>
      <c r="AA26" s="415"/>
      <c r="AB26" s="415"/>
      <c r="AC26" s="415"/>
      <c r="AD26" s="415"/>
      <c r="AE26" s="415"/>
      <c r="AF26" s="415"/>
      <c r="AG26" s="416"/>
      <c r="AH26" s="415"/>
      <c r="AI26" s="417"/>
    </row>
    <row r="27" spans="1:35" x14ac:dyDescent="0.2">
      <c r="C27" s="8"/>
      <c r="D27" s="8"/>
      <c r="E27" s="8"/>
      <c r="F27" s="8"/>
      <c r="G27" s="8"/>
      <c r="H27" s="8"/>
      <c r="I27" s="8"/>
      <c r="J27" s="8"/>
      <c r="K27" s="8"/>
      <c r="L27" s="8"/>
      <c r="M27" s="8"/>
      <c r="N27" s="8"/>
      <c r="O27" s="8"/>
      <c r="P27" s="8"/>
      <c r="Q27" s="8"/>
      <c r="R27" s="8"/>
    </row>
    <row r="28" spans="1:35" x14ac:dyDescent="0.2">
      <c r="C28" s="8"/>
      <c r="D28" s="8"/>
      <c r="E28" s="8"/>
      <c r="F28" s="8"/>
      <c r="G28" s="8"/>
      <c r="H28" s="8"/>
      <c r="I28" s="8"/>
      <c r="J28" s="8"/>
      <c r="K28" s="8"/>
      <c r="L28" s="8"/>
      <c r="M28" s="8"/>
      <c r="N28" s="8"/>
      <c r="O28" s="8"/>
      <c r="P28" s="8"/>
      <c r="Q28" s="8"/>
      <c r="R28" s="8"/>
    </row>
    <row r="29" spans="1:35" x14ac:dyDescent="0.2">
      <c r="C29" s="8"/>
      <c r="D29" s="8"/>
      <c r="E29" s="8"/>
      <c r="F29" s="8"/>
      <c r="G29" s="8"/>
      <c r="H29" s="8"/>
      <c r="I29" s="8"/>
      <c r="J29" s="8"/>
      <c r="K29" s="8"/>
      <c r="L29" s="8"/>
      <c r="M29" s="8"/>
      <c r="N29" s="8"/>
      <c r="O29" s="8"/>
      <c r="P29" s="8"/>
      <c r="Q29" s="8"/>
      <c r="R29" s="8"/>
    </row>
    <row r="30" spans="1:35" x14ac:dyDescent="0.2">
      <c r="C30" s="8"/>
      <c r="D30" s="8"/>
      <c r="E30" s="8"/>
      <c r="F30" s="8"/>
      <c r="G30" s="8"/>
      <c r="H30" s="8"/>
      <c r="I30" s="8"/>
      <c r="J30" s="8"/>
      <c r="K30" s="8"/>
      <c r="L30" s="8"/>
      <c r="M30" s="8"/>
      <c r="N30" s="8"/>
      <c r="O30" s="8"/>
      <c r="P30" s="8"/>
      <c r="Q30" s="8"/>
      <c r="R30" s="8"/>
    </row>
    <row r="31" spans="1:35" x14ac:dyDescent="0.2">
      <c r="C31" s="8"/>
      <c r="D31" s="8"/>
      <c r="E31" s="8"/>
      <c r="F31" s="8"/>
      <c r="G31" s="8"/>
      <c r="H31" s="8"/>
      <c r="I31" s="8"/>
      <c r="J31" s="8"/>
      <c r="K31" s="8"/>
      <c r="L31" s="8"/>
      <c r="M31" s="8"/>
      <c r="N31" s="8"/>
      <c r="O31" s="8"/>
      <c r="P31" s="8"/>
      <c r="Q31" s="8"/>
      <c r="R31" s="8"/>
    </row>
    <row r="32" spans="1:35" x14ac:dyDescent="0.2">
      <c r="C32" s="8"/>
      <c r="D32" s="8"/>
      <c r="E32" s="8"/>
      <c r="F32" s="8"/>
      <c r="G32" s="8"/>
      <c r="H32" s="8"/>
      <c r="I32" s="8"/>
      <c r="J32" s="8"/>
      <c r="K32" s="8"/>
      <c r="L32" s="8"/>
      <c r="M32" s="8"/>
      <c r="N32" s="8"/>
      <c r="O32" s="8"/>
      <c r="P32" s="8"/>
      <c r="Q32" s="8"/>
      <c r="R32" s="8"/>
    </row>
    <row r="33" spans="3:18" x14ac:dyDescent="0.2">
      <c r="C33" s="8"/>
      <c r="D33" s="8"/>
      <c r="E33" s="8"/>
      <c r="F33" s="8"/>
      <c r="G33" s="8"/>
      <c r="H33" s="8"/>
      <c r="I33" s="8"/>
      <c r="J33" s="8"/>
      <c r="K33" s="8"/>
      <c r="L33" s="8"/>
      <c r="M33" s="8"/>
      <c r="N33" s="8"/>
      <c r="O33" s="8"/>
      <c r="P33" s="8"/>
      <c r="Q33" s="8"/>
      <c r="R33" s="8"/>
    </row>
    <row r="34" spans="3:18" ht="13.35" customHeight="1" x14ac:dyDescent="0.2">
      <c r="C34" s="8"/>
      <c r="D34" s="8"/>
      <c r="E34" s="8"/>
      <c r="F34" s="8"/>
      <c r="G34" s="8"/>
      <c r="H34" s="8"/>
      <c r="I34" s="8"/>
      <c r="J34" s="8"/>
      <c r="K34" s="8"/>
      <c r="L34" s="8"/>
      <c r="M34" s="8"/>
      <c r="N34" s="8"/>
      <c r="O34" s="8"/>
      <c r="P34" s="8"/>
      <c r="Q34" s="8"/>
      <c r="R34" s="8"/>
    </row>
    <row r="35" spans="3:18" ht="13.35" customHeight="1" x14ac:dyDescent="0.2">
      <c r="C35" s="8"/>
      <c r="D35" s="8"/>
      <c r="E35" s="8"/>
      <c r="F35" s="8"/>
      <c r="G35" s="8"/>
      <c r="H35" s="8"/>
      <c r="I35" s="8"/>
      <c r="J35" s="8"/>
      <c r="K35" s="8"/>
      <c r="L35" s="8"/>
      <c r="M35" s="8"/>
      <c r="N35" s="8"/>
      <c r="O35" s="8"/>
      <c r="P35" s="8"/>
      <c r="Q35" s="8"/>
      <c r="R35" s="8"/>
    </row>
    <row r="36" spans="3:18" ht="13.35" customHeight="1" x14ac:dyDescent="0.2">
      <c r="C36" s="8"/>
      <c r="D36" s="8"/>
      <c r="E36" s="8"/>
      <c r="F36" s="8"/>
      <c r="G36" s="8"/>
      <c r="H36" s="8"/>
      <c r="I36" s="8"/>
      <c r="J36" s="8"/>
      <c r="K36" s="8"/>
      <c r="L36" s="8"/>
      <c r="M36" s="8"/>
      <c r="N36" s="8"/>
      <c r="O36" s="8"/>
      <c r="P36" s="8"/>
      <c r="Q36" s="8"/>
      <c r="R36" s="8"/>
    </row>
    <row r="37" spans="3:18" x14ac:dyDescent="0.2">
      <c r="C37" s="8"/>
      <c r="D37" s="8"/>
      <c r="E37" s="8"/>
      <c r="F37" s="8"/>
      <c r="G37" s="8"/>
      <c r="H37" s="8"/>
      <c r="I37" s="8"/>
      <c r="J37" s="8"/>
      <c r="K37" s="8"/>
      <c r="L37" s="8"/>
      <c r="M37" s="8"/>
      <c r="N37" s="8"/>
      <c r="O37" s="8"/>
      <c r="P37" s="8"/>
      <c r="Q37" s="8"/>
      <c r="R37" s="8"/>
    </row>
    <row r="38" spans="3:18" ht="15.6" customHeight="1" x14ac:dyDescent="0.2">
      <c r="C38" s="8"/>
      <c r="D38" s="8"/>
      <c r="E38" s="8"/>
      <c r="F38" s="8"/>
      <c r="G38" s="8"/>
      <c r="H38" s="8"/>
      <c r="I38" s="8"/>
      <c r="J38" s="8"/>
      <c r="K38" s="8"/>
      <c r="L38" s="8"/>
      <c r="M38" s="8"/>
      <c r="N38" s="8"/>
      <c r="O38" s="8"/>
      <c r="P38" s="8"/>
      <c r="Q38" s="8"/>
      <c r="R38" s="8"/>
    </row>
    <row r="39" spans="3:18" x14ac:dyDescent="0.2">
      <c r="C39" s="8"/>
      <c r="D39" s="8"/>
      <c r="E39" s="8"/>
      <c r="F39" s="8"/>
      <c r="G39" s="8"/>
      <c r="H39" s="8"/>
      <c r="I39" s="8"/>
      <c r="J39" s="8"/>
      <c r="K39" s="8"/>
      <c r="L39" s="8"/>
      <c r="M39" s="8"/>
      <c r="N39" s="8"/>
      <c r="O39" s="8"/>
      <c r="P39" s="8"/>
      <c r="Q39" s="8"/>
      <c r="R39" s="8"/>
    </row>
    <row r="40" spans="3:18" x14ac:dyDescent="0.2">
      <c r="C40" s="8"/>
      <c r="D40" s="8"/>
      <c r="E40" s="8"/>
      <c r="F40" s="8"/>
      <c r="G40" s="8"/>
      <c r="H40" s="8"/>
      <c r="I40" s="8"/>
      <c r="J40" s="8"/>
      <c r="K40" s="8"/>
      <c r="L40" s="8"/>
      <c r="M40" s="8"/>
      <c r="N40" s="8"/>
      <c r="O40" s="8"/>
      <c r="P40" s="8"/>
      <c r="Q40" s="8"/>
      <c r="R40" s="8"/>
    </row>
    <row r="41" spans="3:18" x14ac:dyDescent="0.2">
      <c r="C41" s="8"/>
      <c r="D41" s="8"/>
      <c r="E41" s="8"/>
      <c r="F41" s="8"/>
      <c r="G41" s="8"/>
      <c r="H41" s="8"/>
      <c r="I41" s="8"/>
      <c r="J41" s="8"/>
      <c r="K41" s="8"/>
      <c r="L41" s="8"/>
      <c r="M41" s="8"/>
      <c r="N41" s="8"/>
      <c r="O41" s="8"/>
      <c r="P41" s="8"/>
      <c r="Q41" s="8"/>
      <c r="R41" s="8"/>
    </row>
    <row r="42" spans="3:18" x14ac:dyDescent="0.2">
      <c r="C42" s="8"/>
      <c r="D42" s="8"/>
      <c r="E42" s="8"/>
      <c r="F42" s="8"/>
      <c r="G42" s="8"/>
      <c r="H42" s="8"/>
      <c r="I42" s="8"/>
      <c r="J42" s="8"/>
      <c r="K42" s="8"/>
      <c r="L42" s="8"/>
      <c r="M42" s="8"/>
      <c r="N42" s="8"/>
      <c r="O42" s="8"/>
      <c r="P42" s="8"/>
      <c r="Q42" s="8"/>
      <c r="R42" s="8"/>
    </row>
    <row r="43" spans="3:18" x14ac:dyDescent="0.2">
      <c r="C43" s="8"/>
      <c r="D43" s="8"/>
      <c r="E43" s="8"/>
      <c r="F43" s="8"/>
      <c r="G43" s="8"/>
      <c r="H43" s="8"/>
      <c r="I43" s="8"/>
      <c r="J43" s="8"/>
      <c r="K43" s="8"/>
      <c r="L43" s="8"/>
      <c r="M43" s="8"/>
      <c r="N43" s="8"/>
      <c r="O43" s="8"/>
      <c r="P43" s="8"/>
      <c r="Q43" s="8"/>
      <c r="R43" s="8"/>
    </row>
    <row r="44" spans="3:18" x14ac:dyDescent="0.2">
      <c r="C44" s="8"/>
      <c r="D44" s="8"/>
      <c r="E44" s="8"/>
      <c r="F44" s="8"/>
      <c r="G44" s="8"/>
      <c r="H44" s="8"/>
      <c r="I44" s="8"/>
      <c r="J44" s="8"/>
      <c r="K44" s="8"/>
      <c r="L44" s="8"/>
      <c r="M44" s="8"/>
      <c r="N44" s="8"/>
      <c r="O44" s="8"/>
      <c r="P44" s="8"/>
      <c r="Q44" s="8"/>
      <c r="R44" s="8"/>
    </row>
    <row r="45" spans="3:18" x14ac:dyDescent="0.2">
      <c r="C45" s="8"/>
      <c r="D45" s="8"/>
      <c r="E45" s="8"/>
      <c r="F45" s="8"/>
      <c r="G45" s="8"/>
      <c r="H45" s="8"/>
      <c r="I45" s="8"/>
      <c r="J45" s="8"/>
      <c r="K45" s="8"/>
      <c r="L45" s="8"/>
      <c r="M45" s="8"/>
      <c r="N45" s="8"/>
      <c r="O45" s="8"/>
      <c r="P45" s="8"/>
      <c r="Q45" s="8"/>
      <c r="R45" s="8"/>
    </row>
    <row r="46" spans="3:18" x14ac:dyDescent="0.2">
      <c r="C46" s="8"/>
      <c r="D46" s="8"/>
      <c r="E46" s="8"/>
      <c r="F46" s="8"/>
      <c r="G46" s="8"/>
      <c r="H46" s="8"/>
      <c r="I46" s="8"/>
      <c r="J46" s="8"/>
      <c r="K46" s="8"/>
      <c r="L46" s="8"/>
      <c r="M46" s="8"/>
      <c r="N46" s="8"/>
      <c r="O46" s="8"/>
      <c r="P46" s="8"/>
      <c r="Q46" s="8"/>
      <c r="R46" s="8"/>
    </row>
    <row r="47" spans="3:18" x14ac:dyDescent="0.2">
      <c r="C47" s="8"/>
      <c r="D47" s="8"/>
      <c r="E47" s="8"/>
      <c r="F47" s="8"/>
      <c r="G47" s="8"/>
      <c r="H47" s="8"/>
      <c r="I47" s="8"/>
      <c r="J47" s="8"/>
      <c r="K47" s="8"/>
      <c r="L47" s="8"/>
      <c r="M47" s="8"/>
      <c r="N47" s="8"/>
      <c r="O47" s="8"/>
      <c r="P47" s="8"/>
      <c r="Q47" s="8"/>
      <c r="R47" s="8"/>
    </row>
    <row r="48" spans="3:18" x14ac:dyDescent="0.2">
      <c r="C48" s="8"/>
      <c r="D48" s="8"/>
      <c r="E48" s="8"/>
      <c r="F48" s="8"/>
      <c r="G48" s="8"/>
      <c r="H48" s="8"/>
      <c r="I48" s="8"/>
      <c r="J48" s="8"/>
      <c r="K48" s="8"/>
      <c r="L48" s="8"/>
      <c r="M48" s="8"/>
      <c r="N48" s="8"/>
      <c r="O48" s="8"/>
      <c r="P48" s="8"/>
      <c r="Q48" s="8"/>
      <c r="R48" s="8"/>
    </row>
    <row r="49" spans="3:18" x14ac:dyDescent="0.2">
      <c r="C49" s="8"/>
      <c r="D49" s="8"/>
      <c r="E49" s="8"/>
      <c r="F49" s="8"/>
      <c r="G49" s="8"/>
      <c r="H49" s="8"/>
      <c r="I49" s="8"/>
      <c r="J49" s="8"/>
      <c r="K49" s="8"/>
      <c r="L49" s="8"/>
      <c r="M49" s="8"/>
      <c r="N49" s="8"/>
      <c r="O49" s="8"/>
      <c r="P49" s="8"/>
      <c r="Q49" s="8"/>
      <c r="R49" s="8"/>
    </row>
    <row r="50" spans="3:18" x14ac:dyDescent="0.2">
      <c r="C50" s="8"/>
      <c r="D50" s="8"/>
      <c r="E50" s="8"/>
      <c r="F50" s="8"/>
      <c r="G50" s="8"/>
      <c r="H50" s="8"/>
      <c r="I50" s="8"/>
      <c r="J50" s="8"/>
      <c r="K50" s="8"/>
      <c r="L50" s="8"/>
      <c r="M50" s="8"/>
      <c r="N50" s="8"/>
      <c r="O50" s="8"/>
      <c r="P50" s="8"/>
      <c r="Q50" s="8"/>
      <c r="R50" s="8"/>
    </row>
    <row r="51" spans="3:18" x14ac:dyDescent="0.2">
      <c r="C51" s="8"/>
      <c r="D51" s="8"/>
      <c r="E51" s="8"/>
      <c r="F51" s="8"/>
      <c r="G51" s="8"/>
      <c r="H51" s="8"/>
      <c r="I51" s="8"/>
      <c r="J51" s="8"/>
      <c r="K51" s="8"/>
      <c r="L51" s="8"/>
      <c r="M51" s="8"/>
      <c r="N51" s="8"/>
      <c r="O51" s="8"/>
      <c r="P51" s="8"/>
      <c r="Q51" s="8"/>
      <c r="R51" s="8"/>
    </row>
    <row r="52" spans="3:18" x14ac:dyDescent="0.2">
      <c r="C52" s="8"/>
      <c r="D52" s="8"/>
      <c r="E52" s="8"/>
      <c r="F52" s="8"/>
      <c r="G52" s="8"/>
      <c r="H52" s="8"/>
      <c r="I52" s="8"/>
      <c r="J52" s="8"/>
      <c r="K52" s="8"/>
      <c r="L52" s="8"/>
      <c r="M52" s="8"/>
      <c r="N52" s="8"/>
      <c r="O52" s="8"/>
      <c r="P52" s="8"/>
      <c r="Q52" s="8"/>
      <c r="R52" s="8"/>
    </row>
    <row r="53" spans="3:18" x14ac:dyDescent="0.2">
      <c r="C53" s="8"/>
      <c r="D53" s="8"/>
      <c r="E53" s="8"/>
      <c r="F53" s="8"/>
      <c r="G53" s="8"/>
      <c r="H53" s="8"/>
      <c r="I53" s="8"/>
      <c r="J53" s="8"/>
      <c r="K53" s="8"/>
      <c r="L53" s="8"/>
      <c r="M53" s="8"/>
      <c r="N53" s="8"/>
      <c r="O53" s="8"/>
      <c r="P53" s="8"/>
      <c r="Q53" s="8"/>
      <c r="R53" s="8"/>
    </row>
    <row r="54" spans="3:18" x14ac:dyDescent="0.2">
      <c r="C54" s="8"/>
      <c r="D54" s="8"/>
      <c r="E54" s="8"/>
      <c r="F54" s="8"/>
      <c r="G54" s="8"/>
      <c r="H54" s="8"/>
      <c r="I54" s="8"/>
      <c r="J54" s="8"/>
      <c r="K54" s="8"/>
      <c r="L54" s="8"/>
      <c r="M54" s="8"/>
      <c r="N54" s="8"/>
      <c r="O54" s="8"/>
      <c r="P54" s="8"/>
      <c r="Q54" s="8"/>
      <c r="R54" s="8"/>
    </row>
    <row r="55" spans="3:18" x14ac:dyDescent="0.2">
      <c r="C55" s="8"/>
      <c r="D55" s="8"/>
      <c r="E55" s="8"/>
      <c r="F55" s="8"/>
      <c r="G55" s="8"/>
      <c r="H55" s="8"/>
      <c r="I55" s="8"/>
      <c r="J55" s="8"/>
      <c r="K55" s="8"/>
      <c r="L55" s="8"/>
      <c r="M55" s="8"/>
      <c r="N55" s="8"/>
      <c r="O55" s="8"/>
      <c r="P55" s="8"/>
      <c r="Q55" s="8"/>
      <c r="R55" s="8"/>
    </row>
    <row r="56" spans="3:18" x14ac:dyDescent="0.2">
      <c r="C56" s="8"/>
      <c r="D56" s="8"/>
      <c r="E56" s="8"/>
      <c r="F56" s="8"/>
      <c r="G56" s="8"/>
      <c r="H56" s="8"/>
      <c r="I56" s="8"/>
      <c r="J56" s="8"/>
      <c r="K56" s="8"/>
      <c r="L56" s="8"/>
      <c r="M56" s="8"/>
      <c r="N56" s="8"/>
      <c r="O56" s="8"/>
      <c r="P56" s="8"/>
      <c r="Q56" s="8"/>
      <c r="R56" s="8"/>
    </row>
    <row r="57" spans="3:18" x14ac:dyDescent="0.2">
      <c r="C57" s="8"/>
      <c r="D57" s="8"/>
      <c r="E57" s="8"/>
      <c r="F57" s="8"/>
      <c r="G57" s="8"/>
      <c r="H57" s="8"/>
      <c r="I57" s="8"/>
      <c r="J57" s="8"/>
      <c r="K57" s="8"/>
      <c r="L57" s="8"/>
      <c r="M57" s="8"/>
      <c r="N57" s="8"/>
      <c r="O57" s="8"/>
      <c r="P57" s="8"/>
      <c r="Q57" s="8"/>
      <c r="R57" s="8"/>
    </row>
    <row r="58" spans="3:18" x14ac:dyDescent="0.2">
      <c r="C58" s="8"/>
      <c r="D58" s="8"/>
      <c r="E58" s="8"/>
      <c r="F58" s="8"/>
      <c r="G58" s="8"/>
      <c r="H58" s="8"/>
      <c r="I58" s="8"/>
      <c r="J58" s="8"/>
      <c r="K58" s="8"/>
      <c r="L58" s="8"/>
      <c r="M58" s="8"/>
      <c r="N58" s="8"/>
      <c r="O58" s="8"/>
      <c r="P58" s="8"/>
      <c r="Q58" s="8"/>
      <c r="R58" s="8"/>
    </row>
    <row r="59" spans="3:18" x14ac:dyDescent="0.2">
      <c r="C59" s="8"/>
      <c r="D59" s="8"/>
      <c r="E59" s="8"/>
      <c r="F59" s="8"/>
      <c r="G59" s="8"/>
      <c r="H59" s="8"/>
      <c r="I59" s="8"/>
      <c r="J59" s="8"/>
      <c r="K59" s="8"/>
      <c r="L59" s="8"/>
      <c r="M59" s="8"/>
      <c r="N59" s="8"/>
      <c r="O59" s="8"/>
      <c r="P59" s="8"/>
      <c r="Q59" s="8"/>
      <c r="R59" s="8"/>
    </row>
    <row r="60" spans="3:18" x14ac:dyDescent="0.2">
      <c r="C60" s="8"/>
      <c r="D60" s="8"/>
      <c r="E60" s="8"/>
      <c r="F60" s="8"/>
      <c r="G60" s="8"/>
      <c r="H60" s="8"/>
      <c r="I60" s="8"/>
      <c r="J60" s="8"/>
      <c r="K60" s="8"/>
      <c r="L60" s="8"/>
      <c r="M60" s="8"/>
      <c r="N60" s="8"/>
      <c r="O60" s="8"/>
      <c r="P60" s="8"/>
      <c r="Q60" s="8"/>
      <c r="R60" s="8"/>
    </row>
    <row r="61" spans="3:18" x14ac:dyDescent="0.2">
      <c r="C61" s="8"/>
      <c r="D61" s="8"/>
      <c r="E61" s="8"/>
      <c r="F61" s="8"/>
      <c r="G61" s="8"/>
      <c r="H61" s="8"/>
      <c r="I61" s="8"/>
      <c r="J61" s="8"/>
      <c r="K61" s="8"/>
      <c r="L61" s="8"/>
      <c r="M61" s="8"/>
      <c r="N61" s="8"/>
      <c r="O61" s="8"/>
      <c r="P61" s="8"/>
      <c r="Q61" s="8"/>
      <c r="R61" s="8"/>
    </row>
    <row r="62" spans="3:18" x14ac:dyDescent="0.2">
      <c r="C62" s="8"/>
      <c r="D62" s="8"/>
      <c r="E62" s="8"/>
      <c r="F62" s="8"/>
      <c r="G62" s="8"/>
      <c r="H62" s="8"/>
      <c r="I62" s="8"/>
      <c r="J62" s="8"/>
      <c r="K62" s="8"/>
      <c r="L62" s="8"/>
      <c r="M62" s="8"/>
      <c r="N62" s="8"/>
      <c r="O62" s="8"/>
      <c r="P62" s="8"/>
      <c r="Q62" s="8"/>
      <c r="R62" s="8"/>
    </row>
    <row r="63" spans="3:18" x14ac:dyDescent="0.2">
      <c r="C63" s="8"/>
      <c r="D63" s="8"/>
      <c r="E63" s="8"/>
      <c r="F63" s="8"/>
      <c r="G63" s="8"/>
      <c r="H63" s="8"/>
      <c r="I63" s="8"/>
      <c r="J63" s="8"/>
      <c r="K63" s="8"/>
      <c r="L63" s="8"/>
      <c r="M63" s="8"/>
      <c r="N63" s="8"/>
      <c r="O63" s="8"/>
      <c r="P63" s="8"/>
      <c r="Q63" s="8"/>
      <c r="R63" s="8"/>
    </row>
    <row r="64" spans="3:18" x14ac:dyDescent="0.2">
      <c r="C64" s="8"/>
      <c r="D64" s="8"/>
      <c r="E64" s="8"/>
      <c r="F64" s="8"/>
      <c r="G64" s="8"/>
      <c r="H64" s="8"/>
      <c r="I64" s="8"/>
      <c r="J64" s="8"/>
      <c r="K64" s="8"/>
      <c r="L64" s="8"/>
      <c r="M64" s="8"/>
      <c r="N64" s="8"/>
      <c r="O64" s="8"/>
      <c r="P64" s="8"/>
      <c r="Q64" s="8"/>
      <c r="R64" s="8"/>
    </row>
    <row r="65" spans="3:18" x14ac:dyDescent="0.2">
      <c r="C65" s="8"/>
      <c r="D65" s="8"/>
      <c r="E65" s="8"/>
      <c r="F65" s="8"/>
      <c r="G65" s="8"/>
      <c r="H65" s="8"/>
      <c r="I65" s="8"/>
      <c r="J65" s="8"/>
      <c r="K65" s="8"/>
      <c r="L65" s="8"/>
      <c r="M65" s="8"/>
      <c r="N65" s="8"/>
      <c r="O65" s="8"/>
      <c r="P65" s="8"/>
      <c r="Q65" s="8"/>
      <c r="R65" s="8"/>
    </row>
    <row r="66" spans="3:18" x14ac:dyDescent="0.2">
      <c r="C66" s="8"/>
      <c r="D66" s="8"/>
      <c r="E66" s="8"/>
      <c r="F66" s="8"/>
      <c r="G66" s="8"/>
      <c r="H66" s="8"/>
      <c r="I66" s="8"/>
      <c r="J66" s="8"/>
      <c r="K66" s="8"/>
      <c r="L66" s="8"/>
      <c r="M66" s="8"/>
      <c r="N66" s="8"/>
      <c r="O66" s="8"/>
      <c r="P66" s="8"/>
      <c r="Q66" s="8"/>
      <c r="R66" s="8"/>
    </row>
    <row r="67" spans="3:18" x14ac:dyDescent="0.2">
      <c r="C67" s="8"/>
      <c r="D67" s="8"/>
      <c r="E67" s="8"/>
      <c r="F67" s="8"/>
      <c r="G67" s="8"/>
      <c r="H67" s="8"/>
      <c r="I67" s="8"/>
      <c r="J67" s="8"/>
      <c r="K67" s="8"/>
      <c r="L67" s="8"/>
      <c r="M67" s="8"/>
      <c r="N67" s="8"/>
      <c r="O67" s="8"/>
      <c r="P67" s="8"/>
      <c r="Q67" s="8"/>
      <c r="R67" s="8"/>
    </row>
    <row r="68" spans="3:18" x14ac:dyDescent="0.2">
      <c r="C68" s="8"/>
      <c r="D68" s="8"/>
      <c r="E68" s="8"/>
      <c r="F68" s="8"/>
      <c r="G68" s="8"/>
      <c r="H68" s="8"/>
      <c r="I68" s="8"/>
      <c r="J68" s="8"/>
      <c r="K68" s="8"/>
      <c r="L68" s="8"/>
      <c r="M68" s="8"/>
      <c r="N68" s="8"/>
      <c r="O68" s="8"/>
      <c r="P68" s="8"/>
      <c r="Q68" s="8"/>
      <c r="R68" s="8"/>
    </row>
    <row r="69" spans="3:18" x14ac:dyDescent="0.2">
      <c r="C69" s="8"/>
      <c r="D69" s="8"/>
      <c r="E69" s="8"/>
      <c r="F69" s="8"/>
      <c r="G69" s="8"/>
      <c r="H69" s="8"/>
      <c r="I69" s="8"/>
      <c r="J69" s="8"/>
      <c r="K69" s="8"/>
      <c r="L69" s="8"/>
      <c r="M69" s="8"/>
      <c r="N69" s="8"/>
      <c r="O69" s="8"/>
      <c r="P69" s="8"/>
      <c r="Q69" s="8"/>
      <c r="R69" s="8"/>
    </row>
    <row r="70" spans="3:18" x14ac:dyDescent="0.2">
      <c r="C70" s="8"/>
      <c r="D70" s="8"/>
      <c r="E70" s="8"/>
      <c r="F70" s="8"/>
      <c r="G70" s="8"/>
      <c r="H70" s="8"/>
      <c r="I70" s="8"/>
      <c r="J70" s="8"/>
      <c r="K70" s="8"/>
      <c r="L70" s="8"/>
      <c r="M70" s="8"/>
      <c r="N70" s="8"/>
      <c r="O70" s="8"/>
      <c r="P70" s="8"/>
      <c r="Q70" s="8"/>
      <c r="R70" s="8"/>
    </row>
    <row r="71" spans="3:18" x14ac:dyDescent="0.2">
      <c r="C71" s="8"/>
      <c r="D71" s="8"/>
      <c r="E71" s="8"/>
      <c r="F71" s="8"/>
      <c r="G71" s="8"/>
      <c r="H71" s="8"/>
      <c r="I71" s="8"/>
      <c r="J71" s="8"/>
      <c r="K71" s="8"/>
      <c r="L71" s="8"/>
      <c r="M71" s="8"/>
      <c r="N71" s="8"/>
      <c r="O71" s="8"/>
      <c r="P71" s="8"/>
      <c r="Q71" s="8"/>
      <c r="R71" s="8"/>
    </row>
    <row r="72" spans="3:18" x14ac:dyDescent="0.2">
      <c r="C72" s="8"/>
      <c r="D72" s="8"/>
      <c r="E72" s="8"/>
      <c r="F72" s="8"/>
      <c r="G72" s="8"/>
      <c r="H72" s="8"/>
      <c r="I72" s="8"/>
      <c r="J72" s="8"/>
      <c r="K72" s="8"/>
      <c r="L72" s="8"/>
      <c r="M72" s="8"/>
      <c r="N72" s="8"/>
      <c r="O72" s="8"/>
      <c r="P72" s="8"/>
      <c r="Q72" s="8"/>
      <c r="R72" s="8"/>
    </row>
    <row r="73" spans="3:18" x14ac:dyDescent="0.2">
      <c r="C73" s="8"/>
      <c r="D73" s="8"/>
      <c r="E73" s="8"/>
      <c r="F73" s="8"/>
      <c r="G73" s="8"/>
      <c r="H73" s="8"/>
      <c r="I73" s="8"/>
      <c r="J73" s="8"/>
      <c r="K73" s="8"/>
      <c r="L73" s="8"/>
      <c r="M73" s="8"/>
      <c r="N73" s="8"/>
      <c r="O73" s="8"/>
      <c r="P73" s="8"/>
      <c r="Q73" s="8"/>
      <c r="R73" s="8"/>
    </row>
    <row r="74" spans="3:18" x14ac:dyDescent="0.2">
      <c r="C74" s="8"/>
      <c r="D74" s="8"/>
      <c r="E74" s="8"/>
      <c r="F74" s="8"/>
      <c r="G74" s="8"/>
      <c r="H74" s="8"/>
      <c r="I74" s="8"/>
      <c r="J74" s="8"/>
      <c r="K74" s="8"/>
      <c r="L74" s="8"/>
      <c r="M74" s="8"/>
      <c r="N74" s="8"/>
      <c r="O74" s="8"/>
      <c r="P74" s="8"/>
      <c r="Q74" s="8"/>
      <c r="R74" s="8"/>
    </row>
    <row r="75" spans="3:18" x14ac:dyDescent="0.2">
      <c r="C75" s="8"/>
      <c r="D75" s="8"/>
      <c r="E75" s="8"/>
      <c r="F75" s="8"/>
      <c r="G75" s="8"/>
      <c r="H75" s="8"/>
      <c r="I75" s="8"/>
      <c r="J75" s="8"/>
      <c r="K75" s="8"/>
      <c r="L75" s="8"/>
      <c r="M75" s="8"/>
      <c r="N75" s="8"/>
      <c r="O75" s="8"/>
      <c r="P75" s="8"/>
      <c r="Q75" s="8"/>
      <c r="R75" s="8"/>
    </row>
    <row r="76" spans="3:18" x14ac:dyDescent="0.2">
      <c r="C76" s="8"/>
      <c r="D76" s="8"/>
      <c r="E76" s="8"/>
      <c r="F76" s="8"/>
      <c r="G76" s="8"/>
      <c r="H76" s="8"/>
      <c r="I76" s="8"/>
      <c r="J76" s="8"/>
      <c r="K76" s="8"/>
      <c r="L76" s="8"/>
      <c r="M76" s="8"/>
      <c r="N76" s="8"/>
      <c r="O76" s="8"/>
      <c r="P76" s="8"/>
      <c r="Q76" s="8"/>
      <c r="R76" s="8"/>
    </row>
    <row r="77" spans="3:18" x14ac:dyDescent="0.2">
      <c r="C77" s="8"/>
      <c r="D77" s="8"/>
      <c r="E77" s="8"/>
      <c r="F77" s="8"/>
      <c r="G77" s="8"/>
      <c r="H77" s="8"/>
      <c r="I77" s="8"/>
      <c r="J77" s="8"/>
      <c r="K77" s="8"/>
      <c r="L77" s="8"/>
      <c r="M77" s="8"/>
      <c r="N77" s="8"/>
      <c r="O77" s="8"/>
      <c r="P77" s="8"/>
      <c r="Q77" s="8"/>
      <c r="R77" s="8"/>
    </row>
    <row r="78" spans="3:18" x14ac:dyDescent="0.2">
      <c r="C78" s="8"/>
      <c r="D78" s="8"/>
      <c r="E78" s="8"/>
      <c r="F78" s="8"/>
      <c r="G78" s="8"/>
      <c r="H78" s="8"/>
      <c r="I78" s="8"/>
      <c r="J78" s="8"/>
      <c r="K78" s="8"/>
      <c r="L78" s="8"/>
      <c r="M78" s="8"/>
      <c r="N78" s="8"/>
      <c r="O78" s="8"/>
      <c r="P78" s="8"/>
      <c r="Q78" s="8"/>
      <c r="R78" s="8"/>
    </row>
    <row r="79" spans="3:18" x14ac:dyDescent="0.2">
      <c r="C79" s="8"/>
      <c r="D79" s="8"/>
      <c r="E79" s="8"/>
      <c r="F79" s="8"/>
      <c r="G79" s="8"/>
      <c r="H79" s="8"/>
      <c r="I79" s="8"/>
      <c r="J79" s="8"/>
      <c r="K79" s="8"/>
      <c r="L79" s="8"/>
      <c r="M79" s="8"/>
      <c r="N79" s="8"/>
      <c r="O79" s="8"/>
      <c r="P79" s="8"/>
      <c r="Q79" s="8"/>
      <c r="R79" s="8"/>
    </row>
    <row r="80" spans="3:18" x14ac:dyDescent="0.2">
      <c r="C80" s="8"/>
      <c r="D80" s="8"/>
      <c r="E80" s="8"/>
      <c r="F80" s="8"/>
      <c r="G80" s="8"/>
      <c r="H80" s="8"/>
      <c r="I80" s="8"/>
      <c r="J80" s="8"/>
      <c r="K80" s="8"/>
      <c r="L80" s="8"/>
      <c r="M80" s="8"/>
      <c r="N80" s="8"/>
      <c r="O80" s="8"/>
      <c r="P80" s="8"/>
      <c r="Q80" s="8"/>
      <c r="R80" s="8"/>
    </row>
    <row r="81" spans="3:18" x14ac:dyDescent="0.2">
      <c r="C81" s="8"/>
      <c r="D81" s="8"/>
      <c r="E81" s="8"/>
      <c r="F81" s="8"/>
      <c r="G81" s="8"/>
      <c r="H81" s="8"/>
      <c r="I81" s="8"/>
      <c r="J81" s="8"/>
      <c r="K81" s="8"/>
      <c r="L81" s="8"/>
      <c r="M81" s="8"/>
      <c r="N81" s="8"/>
      <c r="O81" s="8"/>
      <c r="P81" s="8"/>
      <c r="Q81" s="8"/>
      <c r="R81" s="8"/>
    </row>
    <row r="82" spans="3:18" x14ac:dyDescent="0.2">
      <c r="C82" s="8"/>
      <c r="D82" s="8"/>
      <c r="E82" s="8"/>
      <c r="F82" s="8"/>
      <c r="G82" s="8"/>
      <c r="H82" s="8"/>
      <c r="I82" s="8"/>
      <c r="J82" s="8"/>
      <c r="K82" s="8"/>
      <c r="L82" s="8"/>
      <c r="M82" s="8"/>
      <c r="N82" s="8"/>
      <c r="O82" s="8"/>
      <c r="P82" s="8"/>
      <c r="Q82" s="8"/>
      <c r="R82" s="8"/>
    </row>
    <row r="83" spans="3:18" x14ac:dyDescent="0.2">
      <c r="C83" s="8"/>
      <c r="D83" s="8"/>
      <c r="E83" s="8"/>
      <c r="F83" s="8"/>
      <c r="G83" s="8"/>
      <c r="H83" s="8"/>
      <c r="I83" s="8"/>
      <c r="J83" s="8"/>
      <c r="K83" s="8"/>
      <c r="L83" s="8"/>
      <c r="M83" s="8"/>
      <c r="N83" s="8"/>
      <c r="O83" s="8"/>
      <c r="P83" s="8"/>
      <c r="Q83" s="8"/>
      <c r="R83" s="8"/>
    </row>
    <row r="84" spans="3:18" x14ac:dyDescent="0.2">
      <c r="C84" s="8"/>
      <c r="D84" s="8"/>
      <c r="E84" s="8"/>
      <c r="F84" s="8"/>
      <c r="G84" s="8"/>
      <c r="H84" s="8"/>
      <c r="I84" s="8"/>
      <c r="J84" s="8"/>
      <c r="K84" s="8"/>
      <c r="L84" s="8"/>
      <c r="M84" s="8"/>
      <c r="N84" s="8"/>
      <c r="O84" s="8"/>
      <c r="P84" s="8"/>
      <c r="Q84" s="8"/>
      <c r="R84" s="8"/>
    </row>
    <row r="85" spans="3:18" x14ac:dyDescent="0.2">
      <c r="C85" s="8"/>
      <c r="D85" s="8"/>
      <c r="E85" s="8"/>
      <c r="F85" s="8"/>
      <c r="G85" s="8"/>
      <c r="H85" s="8"/>
      <c r="I85" s="8"/>
      <c r="J85" s="8"/>
      <c r="K85" s="8"/>
      <c r="L85" s="8"/>
      <c r="M85" s="8"/>
      <c r="N85" s="8"/>
      <c r="O85" s="8"/>
      <c r="P85" s="8"/>
      <c r="Q85" s="8"/>
      <c r="R85" s="8"/>
    </row>
    <row r="86" spans="3:18" x14ac:dyDescent="0.2">
      <c r="C86" s="8"/>
      <c r="D86" s="8"/>
      <c r="E86" s="8"/>
      <c r="F86" s="8"/>
      <c r="G86" s="8"/>
      <c r="H86" s="8"/>
      <c r="I86" s="8"/>
      <c r="J86" s="8"/>
      <c r="K86" s="8"/>
      <c r="L86" s="8"/>
      <c r="M86" s="8"/>
      <c r="N86" s="8"/>
      <c r="O86" s="8"/>
      <c r="P86" s="8"/>
      <c r="Q86" s="8"/>
      <c r="R86" s="8"/>
    </row>
    <row r="87" spans="3:18" x14ac:dyDescent="0.2">
      <c r="C87" s="8"/>
      <c r="D87" s="8"/>
      <c r="E87" s="8"/>
      <c r="F87" s="8"/>
      <c r="G87" s="8"/>
      <c r="H87" s="8"/>
      <c r="I87" s="8"/>
      <c r="J87" s="8"/>
      <c r="K87" s="8"/>
      <c r="L87" s="8"/>
      <c r="M87" s="8"/>
      <c r="N87" s="8"/>
      <c r="O87" s="8"/>
      <c r="P87" s="8"/>
      <c r="Q87" s="8"/>
      <c r="R87" s="8"/>
    </row>
    <row r="88" spans="3:18" x14ac:dyDescent="0.2">
      <c r="C88" s="8"/>
      <c r="D88" s="8"/>
      <c r="E88" s="8"/>
      <c r="F88" s="8"/>
      <c r="G88" s="8"/>
      <c r="H88" s="8"/>
      <c r="I88" s="8"/>
      <c r="J88" s="8"/>
      <c r="K88" s="8"/>
      <c r="L88" s="8"/>
      <c r="M88" s="8"/>
      <c r="N88" s="8"/>
      <c r="O88" s="8"/>
      <c r="P88" s="8"/>
      <c r="Q88" s="8"/>
      <c r="R88" s="8"/>
    </row>
    <row r="89" spans="3:18" x14ac:dyDescent="0.2">
      <c r="C89" s="8"/>
      <c r="D89" s="8"/>
      <c r="E89" s="8"/>
      <c r="F89" s="8"/>
      <c r="G89" s="8"/>
      <c r="H89" s="8"/>
      <c r="I89" s="8"/>
      <c r="J89" s="8"/>
      <c r="K89" s="8"/>
      <c r="L89" s="8"/>
      <c r="M89" s="8"/>
      <c r="N89" s="8"/>
      <c r="O89" s="8"/>
      <c r="P89" s="8"/>
      <c r="Q89" s="8"/>
      <c r="R89" s="8"/>
    </row>
    <row r="90" spans="3:18" x14ac:dyDescent="0.2">
      <c r="C90" s="8"/>
      <c r="D90" s="8"/>
      <c r="E90" s="8"/>
      <c r="F90" s="8"/>
      <c r="G90" s="8"/>
      <c r="H90" s="8"/>
      <c r="I90" s="8"/>
      <c r="J90" s="8"/>
      <c r="K90" s="8"/>
      <c r="L90" s="8"/>
      <c r="M90" s="8"/>
      <c r="N90" s="8"/>
      <c r="O90" s="8"/>
      <c r="P90" s="8"/>
      <c r="Q90" s="8"/>
      <c r="R90" s="8"/>
    </row>
    <row r="91" spans="3:18" x14ac:dyDescent="0.2">
      <c r="C91" s="8"/>
      <c r="D91" s="8"/>
      <c r="E91" s="8"/>
      <c r="F91" s="8"/>
      <c r="G91" s="8"/>
      <c r="H91" s="8"/>
      <c r="I91" s="8"/>
      <c r="J91" s="8"/>
      <c r="K91" s="8"/>
      <c r="L91" s="8"/>
      <c r="M91" s="8"/>
      <c r="N91" s="8"/>
      <c r="O91" s="8"/>
      <c r="P91" s="8"/>
      <c r="Q91" s="8"/>
      <c r="R91" s="8"/>
    </row>
    <row r="92" spans="3:18" x14ac:dyDescent="0.2">
      <c r="C92" s="8"/>
      <c r="D92" s="8"/>
      <c r="E92" s="8"/>
      <c r="F92" s="8"/>
      <c r="G92" s="8"/>
      <c r="H92" s="8"/>
      <c r="I92" s="8"/>
      <c r="J92" s="8"/>
      <c r="K92" s="8"/>
      <c r="L92" s="8"/>
      <c r="M92" s="8"/>
      <c r="N92" s="8"/>
      <c r="O92" s="8"/>
      <c r="P92" s="8"/>
      <c r="Q92" s="8"/>
      <c r="R92" s="8"/>
    </row>
    <row r="93" spans="3:18" x14ac:dyDescent="0.2">
      <c r="C93" s="8"/>
      <c r="D93" s="8"/>
      <c r="E93" s="8"/>
      <c r="F93" s="8"/>
      <c r="G93" s="8"/>
      <c r="H93" s="8"/>
      <c r="I93" s="8"/>
      <c r="J93" s="8"/>
      <c r="K93" s="8"/>
      <c r="L93" s="8"/>
      <c r="M93" s="8"/>
      <c r="N93" s="8"/>
      <c r="O93" s="8"/>
      <c r="P93" s="8"/>
      <c r="Q93" s="8"/>
      <c r="R93" s="8"/>
    </row>
    <row r="94" spans="3:18" x14ac:dyDescent="0.2">
      <c r="C94" s="8"/>
      <c r="D94" s="8"/>
      <c r="E94" s="8"/>
      <c r="F94" s="8"/>
      <c r="G94" s="8"/>
      <c r="H94" s="8"/>
      <c r="I94" s="8"/>
      <c r="J94" s="8"/>
      <c r="K94" s="8"/>
      <c r="L94" s="8"/>
      <c r="M94" s="8"/>
      <c r="N94" s="8"/>
      <c r="O94" s="8"/>
      <c r="P94" s="8"/>
      <c r="Q94" s="8"/>
      <c r="R94" s="8"/>
    </row>
    <row r="95" spans="3:18" x14ac:dyDescent="0.2">
      <c r="C95" s="8"/>
      <c r="D95" s="8"/>
      <c r="E95" s="8"/>
      <c r="F95" s="8"/>
      <c r="G95" s="8"/>
      <c r="H95" s="8"/>
      <c r="I95" s="8"/>
      <c r="J95" s="8"/>
      <c r="K95" s="8"/>
      <c r="L95" s="8"/>
      <c r="M95" s="8"/>
      <c r="N95" s="8"/>
      <c r="O95" s="8"/>
      <c r="P95" s="8"/>
      <c r="Q95" s="8"/>
      <c r="R95" s="8"/>
    </row>
    <row r="96" spans="3:18" x14ac:dyDescent="0.2">
      <c r="C96" s="8"/>
      <c r="D96" s="8"/>
      <c r="E96" s="8"/>
      <c r="F96" s="8"/>
      <c r="G96" s="8"/>
      <c r="H96" s="8"/>
      <c r="I96" s="8"/>
      <c r="J96" s="8"/>
      <c r="K96" s="8"/>
      <c r="L96" s="8"/>
      <c r="M96" s="8"/>
      <c r="N96" s="8"/>
      <c r="O96" s="8"/>
      <c r="P96" s="8"/>
      <c r="Q96" s="8"/>
      <c r="R96" s="8"/>
    </row>
    <row r="97" spans="3:18" x14ac:dyDescent="0.2">
      <c r="C97" s="8"/>
      <c r="D97" s="8"/>
      <c r="E97" s="8"/>
      <c r="F97" s="8"/>
      <c r="G97" s="8"/>
      <c r="H97" s="8"/>
      <c r="I97" s="8"/>
      <c r="J97" s="8"/>
      <c r="K97" s="8"/>
      <c r="L97" s="8"/>
      <c r="M97" s="8"/>
      <c r="N97" s="8"/>
      <c r="O97" s="8"/>
      <c r="P97" s="8"/>
      <c r="Q97" s="8"/>
      <c r="R97" s="8"/>
    </row>
    <row r="98" spans="3:18" x14ac:dyDescent="0.2">
      <c r="C98" s="8"/>
      <c r="D98" s="8"/>
      <c r="E98" s="8"/>
      <c r="F98" s="8"/>
      <c r="G98" s="8"/>
      <c r="H98" s="8"/>
      <c r="I98" s="8"/>
      <c r="J98" s="8"/>
      <c r="K98" s="8"/>
      <c r="L98" s="8"/>
      <c r="M98" s="8"/>
      <c r="N98" s="8"/>
      <c r="O98" s="8"/>
      <c r="P98" s="8"/>
      <c r="Q98" s="8"/>
      <c r="R98" s="8"/>
    </row>
    <row r="99" spans="3:18" x14ac:dyDescent="0.2">
      <c r="C99" s="8"/>
      <c r="D99" s="8"/>
      <c r="E99" s="8"/>
      <c r="F99" s="8"/>
      <c r="G99" s="8"/>
      <c r="H99" s="8"/>
      <c r="I99" s="8"/>
      <c r="J99" s="8"/>
      <c r="K99" s="8"/>
      <c r="L99" s="8"/>
      <c r="M99" s="8"/>
      <c r="N99" s="8"/>
      <c r="O99" s="8"/>
      <c r="P99" s="8"/>
      <c r="Q99" s="8"/>
      <c r="R99" s="8"/>
    </row>
    <row r="100" spans="3:18" x14ac:dyDescent="0.2">
      <c r="C100" s="8"/>
      <c r="D100" s="8"/>
      <c r="E100" s="8"/>
      <c r="F100" s="8"/>
      <c r="G100" s="8"/>
      <c r="H100" s="8"/>
      <c r="I100" s="8"/>
      <c r="J100" s="8"/>
      <c r="K100" s="8"/>
      <c r="L100" s="8"/>
      <c r="M100" s="8"/>
      <c r="N100" s="8"/>
      <c r="O100" s="8"/>
      <c r="P100" s="8"/>
      <c r="Q100" s="8"/>
      <c r="R100" s="8"/>
    </row>
    <row r="101" spans="3:18" x14ac:dyDescent="0.2">
      <c r="C101" s="8"/>
      <c r="D101" s="8"/>
      <c r="E101" s="8"/>
      <c r="F101" s="8"/>
      <c r="G101" s="8"/>
      <c r="H101" s="8"/>
      <c r="I101" s="8"/>
      <c r="J101" s="8"/>
      <c r="K101" s="8"/>
      <c r="L101" s="8"/>
      <c r="M101" s="8"/>
      <c r="N101" s="8"/>
      <c r="O101" s="8"/>
      <c r="P101" s="8"/>
      <c r="Q101" s="8"/>
      <c r="R101" s="8"/>
    </row>
    <row r="102" spans="3:18" x14ac:dyDescent="0.2">
      <c r="C102" s="8"/>
      <c r="D102" s="8"/>
      <c r="E102" s="8"/>
      <c r="F102" s="8"/>
      <c r="G102" s="8"/>
      <c r="H102" s="8"/>
      <c r="I102" s="8"/>
      <c r="J102" s="8"/>
      <c r="K102" s="8"/>
      <c r="L102" s="8"/>
      <c r="M102" s="8"/>
      <c r="N102" s="8"/>
      <c r="O102" s="8"/>
      <c r="P102" s="8"/>
      <c r="Q102" s="8"/>
      <c r="R102" s="8"/>
    </row>
    <row r="103" spans="3:18" x14ac:dyDescent="0.2">
      <c r="C103" s="8"/>
      <c r="D103" s="8"/>
      <c r="E103" s="8"/>
      <c r="F103" s="8"/>
      <c r="G103" s="8"/>
      <c r="H103" s="8"/>
      <c r="I103" s="8"/>
      <c r="J103" s="8"/>
      <c r="K103" s="8"/>
      <c r="L103" s="8"/>
      <c r="M103" s="8"/>
      <c r="N103" s="8"/>
      <c r="O103" s="8"/>
      <c r="P103" s="8"/>
      <c r="Q103" s="8"/>
      <c r="R103" s="8"/>
    </row>
    <row r="104" spans="3:18" x14ac:dyDescent="0.2">
      <c r="C104" s="8"/>
      <c r="D104" s="8"/>
      <c r="E104" s="8"/>
      <c r="F104" s="8"/>
      <c r="G104" s="8"/>
      <c r="H104" s="8"/>
      <c r="I104" s="8"/>
      <c r="J104" s="8"/>
      <c r="K104" s="8"/>
      <c r="L104" s="8"/>
      <c r="M104" s="8"/>
      <c r="N104" s="8"/>
      <c r="O104" s="8"/>
      <c r="P104" s="8"/>
      <c r="Q104" s="8"/>
      <c r="R104" s="8"/>
    </row>
    <row r="105" spans="3:18" x14ac:dyDescent="0.2">
      <c r="C105" s="8"/>
      <c r="D105" s="8"/>
      <c r="E105" s="8"/>
      <c r="F105" s="8"/>
      <c r="G105" s="8"/>
      <c r="H105" s="8"/>
      <c r="I105" s="8"/>
      <c r="J105" s="8"/>
      <c r="K105" s="8"/>
      <c r="L105" s="8"/>
      <c r="M105" s="8"/>
      <c r="N105" s="8"/>
      <c r="O105" s="8"/>
      <c r="P105" s="8"/>
      <c r="Q105" s="8"/>
      <c r="R105" s="8"/>
    </row>
    <row r="106" spans="3:18" x14ac:dyDescent="0.2">
      <c r="C106" s="8"/>
      <c r="D106" s="8"/>
      <c r="E106" s="8"/>
      <c r="F106" s="8"/>
      <c r="G106" s="8"/>
      <c r="H106" s="8"/>
      <c r="I106" s="8"/>
      <c r="J106" s="8"/>
      <c r="K106" s="8"/>
      <c r="L106" s="8"/>
      <c r="M106" s="8"/>
      <c r="N106" s="8"/>
      <c r="O106" s="8"/>
      <c r="P106" s="8"/>
      <c r="Q106" s="8"/>
      <c r="R106" s="8"/>
    </row>
    <row r="107" spans="3:18" x14ac:dyDescent="0.2">
      <c r="C107" s="8"/>
      <c r="D107" s="8"/>
      <c r="E107" s="8"/>
      <c r="F107" s="8"/>
      <c r="G107" s="8"/>
      <c r="H107" s="8"/>
      <c r="I107" s="8"/>
      <c r="J107" s="8"/>
      <c r="K107" s="8"/>
      <c r="L107" s="8"/>
      <c r="M107" s="8"/>
      <c r="N107" s="8"/>
      <c r="O107" s="8"/>
      <c r="P107" s="8"/>
      <c r="Q107" s="8"/>
      <c r="R107" s="8"/>
    </row>
    <row r="108" spans="3:18" x14ac:dyDescent="0.2">
      <c r="C108" s="8"/>
      <c r="D108" s="8"/>
      <c r="E108" s="8"/>
      <c r="F108" s="8"/>
      <c r="G108" s="8"/>
      <c r="H108" s="8"/>
      <c r="I108" s="8"/>
      <c r="J108" s="8"/>
      <c r="K108" s="8"/>
      <c r="L108" s="8"/>
      <c r="M108" s="8"/>
      <c r="N108" s="8"/>
      <c r="O108" s="8"/>
      <c r="P108" s="8"/>
      <c r="Q108" s="8"/>
      <c r="R108" s="8"/>
    </row>
    <row r="109" spans="3:18" x14ac:dyDescent="0.2">
      <c r="C109" s="8"/>
      <c r="D109" s="8"/>
      <c r="E109" s="8"/>
      <c r="F109" s="8"/>
      <c r="G109" s="8"/>
      <c r="H109" s="8"/>
      <c r="I109" s="8"/>
      <c r="J109" s="8"/>
      <c r="K109" s="8"/>
      <c r="L109" s="8"/>
      <c r="M109" s="8"/>
      <c r="N109" s="8"/>
      <c r="O109" s="8"/>
      <c r="P109" s="8"/>
      <c r="Q109" s="8"/>
      <c r="R109" s="8"/>
    </row>
    <row r="110" spans="3:18" x14ac:dyDescent="0.2">
      <c r="C110" s="8"/>
      <c r="D110" s="8"/>
      <c r="E110" s="8"/>
      <c r="F110" s="8"/>
      <c r="G110" s="8"/>
      <c r="H110" s="8"/>
      <c r="I110" s="8"/>
      <c r="J110" s="8"/>
      <c r="K110" s="8"/>
      <c r="L110" s="8"/>
      <c r="M110" s="8"/>
      <c r="N110" s="8"/>
      <c r="O110" s="8"/>
      <c r="P110" s="8"/>
      <c r="Q110" s="8"/>
      <c r="R110" s="8"/>
    </row>
    <row r="111" spans="3:18" x14ac:dyDescent="0.2">
      <c r="C111" s="8"/>
      <c r="D111" s="8"/>
      <c r="E111" s="8"/>
      <c r="F111" s="8"/>
      <c r="G111" s="8"/>
      <c r="H111" s="8"/>
      <c r="I111" s="8"/>
      <c r="J111" s="8"/>
      <c r="K111" s="8"/>
      <c r="L111" s="8"/>
      <c r="M111" s="8"/>
      <c r="N111" s="8"/>
      <c r="O111" s="8"/>
      <c r="P111" s="8"/>
      <c r="Q111" s="8"/>
      <c r="R111" s="8"/>
    </row>
    <row r="112" spans="3:18" x14ac:dyDescent="0.2">
      <c r="C112" s="8"/>
      <c r="D112" s="8"/>
      <c r="E112" s="8"/>
      <c r="F112" s="8"/>
      <c r="G112" s="8"/>
      <c r="H112" s="8"/>
      <c r="I112" s="8"/>
      <c r="J112" s="8"/>
      <c r="K112" s="8"/>
      <c r="L112" s="8"/>
      <c r="M112" s="8"/>
      <c r="N112" s="8"/>
      <c r="O112" s="8"/>
      <c r="P112" s="8"/>
      <c r="Q112" s="8"/>
      <c r="R112" s="8"/>
    </row>
    <row r="113" spans="3:18" x14ac:dyDescent="0.2">
      <c r="C113" s="8"/>
      <c r="D113" s="8"/>
      <c r="E113" s="8"/>
      <c r="F113" s="8"/>
      <c r="G113" s="8"/>
      <c r="H113" s="8"/>
      <c r="I113" s="8"/>
      <c r="J113" s="8"/>
      <c r="K113" s="8"/>
      <c r="L113" s="8"/>
      <c r="M113" s="8"/>
      <c r="N113" s="8"/>
      <c r="O113" s="8"/>
      <c r="P113" s="8"/>
      <c r="Q113" s="8"/>
      <c r="R113" s="8"/>
    </row>
    <row r="114" spans="3:18" x14ac:dyDescent="0.2">
      <c r="C114" s="8"/>
      <c r="D114" s="8"/>
      <c r="E114" s="8"/>
      <c r="F114" s="8"/>
      <c r="G114" s="8"/>
      <c r="H114" s="8"/>
      <c r="I114" s="8"/>
      <c r="J114" s="8"/>
      <c r="K114" s="8"/>
      <c r="L114" s="8"/>
      <c r="M114" s="8"/>
      <c r="N114" s="8"/>
      <c r="O114" s="8"/>
      <c r="P114" s="8"/>
      <c r="Q114" s="8"/>
      <c r="R114" s="8"/>
    </row>
    <row r="115" spans="3:18" x14ac:dyDescent="0.2">
      <c r="C115" s="8"/>
      <c r="D115" s="8"/>
      <c r="E115" s="8"/>
      <c r="F115" s="8"/>
      <c r="G115" s="8"/>
      <c r="H115" s="8"/>
      <c r="I115" s="8"/>
      <c r="J115" s="8"/>
      <c r="K115" s="8"/>
      <c r="L115" s="8"/>
      <c r="M115" s="8"/>
      <c r="N115" s="8"/>
      <c r="O115" s="8"/>
      <c r="P115" s="8"/>
      <c r="Q115" s="8"/>
      <c r="R115" s="8"/>
    </row>
    <row r="116" spans="3:18" x14ac:dyDescent="0.2">
      <c r="C116" s="8"/>
      <c r="D116" s="8"/>
      <c r="E116" s="8"/>
      <c r="F116" s="8"/>
      <c r="G116" s="8"/>
      <c r="H116" s="8"/>
      <c r="I116" s="8"/>
      <c r="J116" s="8"/>
      <c r="K116" s="8"/>
      <c r="L116" s="8"/>
      <c r="M116" s="8"/>
      <c r="N116" s="8"/>
      <c r="O116" s="8"/>
      <c r="P116" s="8"/>
      <c r="Q116" s="8"/>
      <c r="R116" s="8"/>
    </row>
    <row r="117" spans="3:18" x14ac:dyDescent="0.2">
      <c r="C117" s="8"/>
      <c r="D117" s="8"/>
      <c r="E117" s="8"/>
      <c r="F117" s="8"/>
      <c r="G117" s="8"/>
      <c r="H117" s="8"/>
      <c r="I117" s="8"/>
      <c r="J117" s="8"/>
      <c r="K117" s="8"/>
      <c r="L117" s="8"/>
      <c r="M117" s="8"/>
      <c r="N117" s="8"/>
      <c r="O117" s="8"/>
      <c r="P117" s="8"/>
      <c r="Q117" s="8"/>
      <c r="R117" s="8"/>
    </row>
    <row r="118" spans="3:18" x14ac:dyDescent="0.2">
      <c r="C118" s="8"/>
      <c r="D118" s="8"/>
      <c r="E118" s="8"/>
      <c r="F118" s="8"/>
      <c r="G118" s="8"/>
      <c r="H118" s="8"/>
      <c r="I118" s="8"/>
      <c r="J118" s="8"/>
      <c r="K118" s="8"/>
      <c r="L118" s="8"/>
      <c r="M118" s="8"/>
      <c r="N118" s="8"/>
      <c r="O118" s="8"/>
      <c r="P118" s="8"/>
      <c r="Q118" s="8"/>
      <c r="R118" s="8"/>
    </row>
    <row r="119" spans="3:18" x14ac:dyDescent="0.2">
      <c r="C119" s="8"/>
      <c r="D119" s="8"/>
      <c r="E119" s="8"/>
      <c r="F119" s="8"/>
      <c r="G119" s="8"/>
      <c r="H119" s="8"/>
      <c r="I119" s="8"/>
      <c r="J119" s="8"/>
      <c r="K119" s="8"/>
      <c r="L119" s="8"/>
      <c r="M119" s="8"/>
      <c r="N119" s="8"/>
      <c r="O119" s="8"/>
      <c r="P119" s="8"/>
      <c r="Q119" s="8"/>
      <c r="R119" s="8"/>
    </row>
    <row r="120" spans="3:18" x14ac:dyDescent="0.2">
      <c r="C120" s="8"/>
      <c r="D120" s="8"/>
      <c r="E120" s="8"/>
      <c r="F120" s="8"/>
      <c r="G120" s="8"/>
      <c r="H120" s="8"/>
      <c r="I120" s="8"/>
      <c r="J120" s="8"/>
      <c r="K120" s="8"/>
      <c r="L120" s="8"/>
      <c r="M120" s="8"/>
      <c r="N120" s="8"/>
      <c r="O120" s="8"/>
      <c r="P120" s="8"/>
      <c r="Q120" s="8"/>
      <c r="R120" s="8"/>
    </row>
    <row r="121" spans="3:18" x14ac:dyDescent="0.2">
      <c r="C121" s="8"/>
      <c r="D121" s="8"/>
      <c r="E121" s="8"/>
      <c r="F121" s="8"/>
      <c r="G121" s="8"/>
      <c r="H121" s="8"/>
      <c r="I121" s="8"/>
      <c r="J121" s="8"/>
      <c r="K121" s="8"/>
      <c r="L121" s="8"/>
      <c r="M121" s="8"/>
      <c r="N121" s="8"/>
      <c r="O121" s="8"/>
      <c r="P121" s="8"/>
      <c r="Q121" s="8"/>
      <c r="R121" s="8"/>
    </row>
    <row r="122" spans="3:18" x14ac:dyDescent="0.2">
      <c r="C122" s="8"/>
      <c r="D122" s="8"/>
      <c r="E122" s="8"/>
      <c r="F122" s="8"/>
      <c r="G122" s="8"/>
      <c r="H122" s="8"/>
      <c r="I122" s="8"/>
      <c r="J122" s="8"/>
      <c r="K122" s="8"/>
      <c r="L122" s="8"/>
      <c r="M122" s="8"/>
      <c r="N122" s="8"/>
      <c r="O122" s="8"/>
      <c r="P122" s="8"/>
      <c r="Q122" s="8"/>
      <c r="R122" s="8"/>
    </row>
    <row r="123" spans="3:18" x14ac:dyDescent="0.2">
      <c r="C123" s="8"/>
      <c r="D123" s="8"/>
      <c r="E123" s="8"/>
      <c r="F123" s="8"/>
      <c r="G123" s="8"/>
      <c r="H123" s="8"/>
      <c r="I123" s="8"/>
      <c r="J123" s="8"/>
      <c r="K123" s="8"/>
      <c r="L123" s="8"/>
      <c r="M123" s="8"/>
      <c r="N123" s="8"/>
      <c r="O123" s="8"/>
      <c r="P123" s="8"/>
      <c r="Q123" s="8"/>
      <c r="R123" s="8"/>
    </row>
    <row r="124" spans="3:18" x14ac:dyDescent="0.2">
      <c r="C124" s="8"/>
      <c r="D124" s="8"/>
      <c r="E124" s="8"/>
      <c r="F124" s="8"/>
      <c r="G124" s="8"/>
      <c r="H124" s="8"/>
      <c r="I124" s="8"/>
      <c r="J124" s="8"/>
      <c r="K124" s="8"/>
      <c r="L124" s="8"/>
      <c r="M124" s="8"/>
      <c r="N124" s="8"/>
      <c r="O124" s="8"/>
      <c r="P124" s="8"/>
      <c r="Q124" s="8"/>
      <c r="R124" s="8"/>
    </row>
    <row r="125" spans="3:18" x14ac:dyDescent="0.2">
      <c r="C125" s="8"/>
      <c r="D125" s="8"/>
      <c r="E125" s="8"/>
      <c r="F125" s="8"/>
      <c r="G125" s="8"/>
      <c r="H125" s="8"/>
      <c r="I125" s="8"/>
      <c r="J125" s="8"/>
      <c r="K125" s="8"/>
      <c r="L125" s="8"/>
      <c r="M125" s="8"/>
      <c r="N125" s="8"/>
      <c r="O125" s="8"/>
      <c r="P125" s="8"/>
      <c r="Q125" s="8"/>
      <c r="R125" s="8"/>
    </row>
    <row r="126" spans="3:18" x14ac:dyDescent="0.2">
      <c r="C126" s="8"/>
      <c r="D126" s="8"/>
      <c r="E126" s="8"/>
      <c r="F126" s="8"/>
      <c r="G126" s="8"/>
      <c r="H126" s="8"/>
      <c r="I126" s="8"/>
      <c r="J126" s="8"/>
      <c r="K126" s="8"/>
      <c r="L126" s="8"/>
      <c r="M126" s="8"/>
      <c r="N126" s="8"/>
      <c r="O126" s="8"/>
      <c r="P126" s="8"/>
      <c r="Q126" s="8"/>
      <c r="R126" s="8"/>
    </row>
    <row r="127" spans="3:18" x14ac:dyDescent="0.2">
      <c r="C127" s="8"/>
      <c r="D127" s="8"/>
      <c r="E127" s="8"/>
      <c r="F127" s="8"/>
      <c r="G127" s="8"/>
      <c r="H127" s="8"/>
      <c r="I127" s="8"/>
      <c r="J127" s="8"/>
      <c r="K127" s="8"/>
      <c r="L127" s="8"/>
      <c r="M127" s="8"/>
      <c r="N127" s="8"/>
      <c r="O127" s="8"/>
      <c r="P127" s="8"/>
      <c r="Q127" s="8"/>
      <c r="R127" s="8"/>
    </row>
    <row r="128" spans="3:18" x14ac:dyDescent="0.2">
      <c r="C128" s="8"/>
      <c r="D128" s="8"/>
      <c r="E128" s="8"/>
      <c r="F128" s="8"/>
      <c r="G128" s="8"/>
      <c r="H128" s="8"/>
      <c r="I128" s="8"/>
      <c r="J128" s="8"/>
      <c r="K128" s="8"/>
      <c r="L128" s="8"/>
      <c r="M128" s="8"/>
      <c r="N128" s="8"/>
      <c r="O128" s="8"/>
      <c r="P128" s="8"/>
      <c r="Q128" s="8"/>
      <c r="R128" s="8"/>
    </row>
    <row r="129" spans="3:18" x14ac:dyDescent="0.2">
      <c r="C129" s="8"/>
      <c r="D129" s="8"/>
      <c r="E129" s="8"/>
      <c r="F129" s="8"/>
      <c r="G129" s="8"/>
      <c r="H129" s="8"/>
      <c r="I129" s="8"/>
      <c r="J129" s="8"/>
      <c r="K129" s="8"/>
      <c r="L129" s="8"/>
      <c r="M129" s="8"/>
      <c r="N129" s="8"/>
      <c r="O129" s="8"/>
      <c r="P129" s="8"/>
      <c r="Q129" s="8"/>
      <c r="R129" s="8"/>
    </row>
    <row r="130" spans="3:18" x14ac:dyDescent="0.2">
      <c r="C130" s="8"/>
      <c r="D130" s="8"/>
      <c r="E130" s="8"/>
      <c r="F130" s="8"/>
      <c r="G130" s="8"/>
      <c r="H130" s="8"/>
      <c r="I130" s="8"/>
      <c r="J130" s="8"/>
      <c r="K130" s="8"/>
      <c r="L130" s="8"/>
      <c r="M130" s="8"/>
      <c r="N130" s="8"/>
      <c r="O130" s="8"/>
      <c r="P130" s="8"/>
      <c r="Q130" s="8"/>
      <c r="R130" s="8"/>
    </row>
    <row r="131" spans="3:18" x14ac:dyDescent="0.2">
      <c r="C131" s="8"/>
      <c r="D131" s="8"/>
      <c r="E131" s="8"/>
      <c r="F131" s="8"/>
      <c r="G131" s="8"/>
      <c r="H131" s="8"/>
      <c r="I131" s="8"/>
      <c r="J131" s="8"/>
      <c r="K131" s="8"/>
      <c r="L131" s="8"/>
      <c r="M131" s="8"/>
      <c r="N131" s="8"/>
      <c r="O131" s="8"/>
      <c r="P131" s="8"/>
      <c r="Q131" s="8"/>
      <c r="R131" s="8"/>
    </row>
    <row r="132" spans="3:18" x14ac:dyDescent="0.2">
      <c r="C132" s="8"/>
      <c r="D132" s="8"/>
      <c r="E132" s="8"/>
      <c r="F132" s="8"/>
      <c r="G132" s="8"/>
      <c r="H132" s="8"/>
      <c r="I132" s="8"/>
      <c r="J132" s="8"/>
      <c r="K132" s="8"/>
      <c r="L132" s="8"/>
      <c r="M132" s="8"/>
      <c r="N132" s="8"/>
      <c r="O132" s="8"/>
      <c r="P132" s="8"/>
      <c r="Q132" s="8"/>
      <c r="R132" s="8"/>
    </row>
    <row r="133" spans="3:18" x14ac:dyDescent="0.2">
      <c r="C133" s="8"/>
      <c r="D133" s="8"/>
      <c r="E133" s="8"/>
      <c r="F133" s="8"/>
      <c r="G133" s="8"/>
      <c r="H133" s="8"/>
      <c r="I133" s="8"/>
      <c r="J133" s="8"/>
      <c r="K133" s="8"/>
      <c r="L133" s="8"/>
      <c r="M133" s="8"/>
      <c r="N133" s="8"/>
      <c r="O133" s="8"/>
      <c r="P133" s="8"/>
      <c r="Q133" s="8"/>
      <c r="R133" s="8"/>
    </row>
    <row r="134" spans="3:18" x14ac:dyDescent="0.2">
      <c r="C134" s="8"/>
      <c r="D134" s="8"/>
      <c r="E134" s="8"/>
      <c r="F134" s="8"/>
      <c r="G134" s="8"/>
      <c r="H134" s="8"/>
      <c r="I134" s="8"/>
      <c r="J134" s="8"/>
      <c r="K134" s="8"/>
      <c r="L134" s="8"/>
      <c r="M134" s="8"/>
      <c r="N134" s="8"/>
      <c r="O134" s="8"/>
      <c r="P134" s="8"/>
      <c r="Q134" s="8"/>
      <c r="R134" s="8"/>
    </row>
    <row r="135" spans="3:18" x14ac:dyDescent="0.2">
      <c r="C135" s="8"/>
      <c r="D135" s="8"/>
      <c r="E135" s="8"/>
      <c r="F135" s="8"/>
      <c r="G135" s="8"/>
      <c r="H135" s="8"/>
      <c r="I135" s="8"/>
      <c r="J135" s="8"/>
      <c r="K135" s="8"/>
      <c r="L135" s="8"/>
      <c r="M135" s="8"/>
      <c r="N135" s="8"/>
      <c r="O135" s="8"/>
      <c r="P135" s="8"/>
      <c r="Q135" s="8"/>
      <c r="R135" s="8"/>
    </row>
    <row r="136" spans="3:18" x14ac:dyDescent="0.2">
      <c r="C136" s="8"/>
      <c r="D136" s="8"/>
      <c r="E136" s="8"/>
      <c r="F136" s="8"/>
      <c r="G136" s="8"/>
      <c r="H136" s="8"/>
      <c r="I136" s="8"/>
      <c r="J136" s="8"/>
      <c r="K136" s="8"/>
      <c r="L136" s="8"/>
      <c r="M136" s="8"/>
      <c r="N136" s="8"/>
      <c r="O136" s="8"/>
      <c r="P136" s="8"/>
      <c r="Q136" s="8"/>
      <c r="R136" s="8"/>
    </row>
    <row r="137" spans="3:18" x14ac:dyDescent="0.2">
      <c r="C137" s="8"/>
      <c r="D137" s="8"/>
      <c r="E137" s="8"/>
      <c r="F137" s="8"/>
      <c r="G137" s="8"/>
      <c r="H137" s="8"/>
      <c r="I137" s="8"/>
      <c r="J137" s="8"/>
      <c r="K137" s="8"/>
      <c r="L137" s="8"/>
      <c r="M137" s="8"/>
      <c r="N137" s="8"/>
      <c r="O137" s="8"/>
      <c r="P137" s="8"/>
      <c r="Q137" s="8"/>
      <c r="R137" s="8"/>
    </row>
    <row r="138" spans="3:18" x14ac:dyDescent="0.2">
      <c r="C138" s="8"/>
      <c r="D138" s="8"/>
      <c r="E138" s="8"/>
      <c r="F138" s="8"/>
      <c r="G138" s="8"/>
      <c r="H138" s="8"/>
      <c r="I138" s="8"/>
      <c r="J138" s="8"/>
      <c r="K138" s="8"/>
      <c r="L138" s="8"/>
      <c r="M138" s="8"/>
      <c r="N138" s="8"/>
      <c r="O138" s="8"/>
      <c r="P138" s="8"/>
      <c r="Q138" s="8"/>
      <c r="R138" s="8"/>
    </row>
    <row r="139" spans="3:18" x14ac:dyDescent="0.2">
      <c r="C139" s="8"/>
      <c r="D139" s="8"/>
      <c r="E139" s="8"/>
      <c r="F139" s="8"/>
      <c r="G139" s="8"/>
      <c r="H139" s="8"/>
      <c r="I139" s="8"/>
      <c r="J139" s="8"/>
      <c r="K139" s="8"/>
      <c r="L139" s="8"/>
      <c r="M139" s="8"/>
      <c r="N139" s="8"/>
      <c r="O139" s="8"/>
      <c r="P139" s="8"/>
      <c r="Q139" s="8"/>
      <c r="R139" s="8"/>
    </row>
    <row r="140" spans="3:18" x14ac:dyDescent="0.2">
      <c r="C140" s="8"/>
      <c r="D140" s="8"/>
      <c r="E140" s="8"/>
      <c r="F140" s="8"/>
      <c r="G140" s="8"/>
      <c r="H140" s="8"/>
      <c r="I140" s="8"/>
      <c r="J140" s="8"/>
      <c r="K140" s="8"/>
      <c r="L140" s="8"/>
      <c r="M140" s="8"/>
      <c r="N140" s="8"/>
      <c r="O140" s="8"/>
      <c r="P140" s="8"/>
      <c r="Q140" s="8"/>
      <c r="R140" s="8"/>
    </row>
    <row r="141" spans="3:18" x14ac:dyDescent="0.2">
      <c r="C141" s="8"/>
      <c r="D141" s="8"/>
      <c r="E141" s="8"/>
      <c r="F141" s="8"/>
      <c r="G141" s="8"/>
      <c r="H141" s="8"/>
      <c r="I141" s="8"/>
      <c r="J141" s="8"/>
      <c r="K141" s="8"/>
      <c r="L141" s="8"/>
      <c r="M141" s="8"/>
      <c r="N141" s="8"/>
      <c r="O141" s="8"/>
      <c r="P141" s="8"/>
      <c r="Q141" s="8"/>
      <c r="R141" s="8"/>
    </row>
    <row r="142" spans="3:18" x14ac:dyDescent="0.2">
      <c r="C142" s="8"/>
      <c r="D142" s="8"/>
      <c r="E142" s="8"/>
      <c r="F142" s="8"/>
      <c r="G142" s="8"/>
      <c r="H142" s="8"/>
      <c r="I142" s="8"/>
      <c r="J142" s="8"/>
      <c r="K142" s="8"/>
      <c r="L142" s="8"/>
      <c r="M142" s="8"/>
      <c r="N142" s="8"/>
      <c r="O142" s="8"/>
      <c r="P142" s="8"/>
      <c r="Q142" s="8"/>
      <c r="R142" s="8"/>
    </row>
    <row r="143" spans="3:18" x14ac:dyDescent="0.2">
      <c r="C143" s="8"/>
      <c r="D143" s="8"/>
      <c r="E143" s="8"/>
      <c r="F143" s="8"/>
      <c r="G143" s="8"/>
      <c r="H143" s="8"/>
      <c r="I143" s="8"/>
      <c r="J143" s="8"/>
      <c r="K143" s="8"/>
      <c r="L143" s="8"/>
      <c r="M143" s="8"/>
      <c r="N143" s="8"/>
      <c r="O143" s="8"/>
      <c r="P143" s="8"/>
      <c r="Q143" s="8"/>
      <c r="R143" s="8"/>
    </row>
    <row r="144" spans="3:18" x14ac:dyDescent="0.2">
      <c r="C144" s="8"/>
      <c r="D144" s="8"/>
      <c r="E144" s="8"/>
      <c r="F144" s="8"/>
      <c r="G144" s="8"/>
      <c r="H144" s="8"/>
      <c r="I144" s="8"/>
      <c r="J144" s="8"/>
      <c r="K144" s="8"/>
      <c r="L144" s="8"/>
      <c r="M144" s="8"/>
      <c r="N144" s="8"/>
      <c r="O144" s="8"/>
      <c r="P144" s="8"/>
      <c r="Q144" s="8"/>
      <c r="R144" s="8"/>
    </row>
    <row r="145" spans="3:18" x14ac:dyDescent="0.2">
      <c r="C145" s="8"/>
      <c r="D145" s="8"/>
      <c r="E145" s="8"/>
      <c r="F145" s="8"/>
      <c r="G145" s="8"/>
      <c r="H145" s="8"/>
      <c r="I145" s="8"/>
      <c r="J145" s="8"/>
      <c r="K145" s="8"/>
      <c r="L145" s="8"/>
      <c r="M145" s="8"/>
      <c r="N145" s="8"/>
      <c r="O145" s="8"/>
      <c r="P145" s="8"/>
      <c r="Q145" s="8"/>
      <c r="R145" s="8"/>
    </row>
    <row r="146" spans="3:18" x14ac:dyDescent="0.2">
      <c r="C146" s="8"/>
      <c r="D146" s="8"/>
      <c r="E146" s="8"/>
      <c r="F146" s="8"/>
      <c r="G146" s="8"/>
      <c r="H146" s="8"/>
      <c r="I146" s="8"/>
      <c r="J146" s="8"/>
      <c r="K146" s="8"/>
      <c r="L146" s="8"/>
      <c r="M146" s="8"/>
      <c r="N146" s="8"/>
      <c r="O146" s="8"/>
      <c r="P146" s="8"/>
      <c r="Q146" s="8"/>
      <c r="R146" s="8"/>
    </row>
    <row r="147" spans="3:18" x14ac:dyDescent="0.2">
      <c r="C147" s="8"/>
      <c r="D147" s="8"/>
      <c r="E147" s="8"/>
      <c r="F147" s="8"/>
      <c r="G147" s="8"/>
      <c r="H147" s="8"/>
      <c r="I147" s="8"/>
      <c r="J147" s="8"/>
      <c r="K147" s="8"/>
      <c r="L147" s="8"/>
      <c r="M147" s="8"/>
      <c r="N147" s="8"/>
      <c r="O147" s="8"/>
      <c r="P147" s="8"/>
      <c r="Q147" s="8"/>
      <c r="R147" s="8"/>
    </row>
    <row r="148" spans="3:18" x14ac:dyDescent="0.2">
      <c r="C148" s="8"/>
      <c r="D148" s="8"/>
      <c r="E148" s="8"/>
      <c r="F148" s="8"/>
      <c r="G148" s="8"/>
      <c r="H148" s="8"/>
      <c r="I148" s="8"/>
      <c r="J148" s="8"/>
      <c r="K148" s="8"/>
      <c r="L148" s="8"/>
      <c r="M148" s="8"/>
      <c r="N148" s="8"/>
      <c r="O148" s="8"/>
      <c r="P148" s="8"/>
      <c r="Q148" s="8"/>
      <c r="R148" s="8"/>
    </row>
    <row r="149" spans="3:18" x14ac:dyDescent="0.2">
      <c r="C149" s="8"/>
      <c r="D149" s="8"/>
      <c r="E149" s="8"/>
      <c r="F149" s="8"/>
      <c r="G149" s="8"/>
      <c r="H149" s="8"/>
      <c r="I149" s="8"/>
      <c r="J149" s="8"/>
      <c r="K149" s="8"/>
      <c r="L149" s="8"/>
      <c r="M149" s="8"/>
      <c r="N149" s="8"/>
      <c r="O149" s="8"/>
      <c r="P149" s="8"/>
      <c r="Q149" s="8"/>
      <c r="R149" s="8"/>
    </row>
    <row r="150" spans="3:18" x14ac:dyDescent="0.2">
      <c r="C150" s="8"/>
      <c r="D150" s="8"/>
      <c r="E150" s="8"/>
      <c r="F150" s="8"/>
      <c r="G150" s="8"/>
      <c r="H150" s="8"/>
      <c r="I150" s="8"/>
      <c r="J150" s="8"/>
      <c r="K150" s="8"/>
      <c r="L150" s="8"/>
      <c r="M150" s="8"/>
      <c r="N150" s="8"/>
      <c r="O150" s="8"/>
      <c r="P150" s="8"/>
      <c r="Q150" s="8"/>
      <c r="R150" s="8"/>
    </row>
    <row r="151" spans="3:18" x14ac:dyDescent="0.2">
      <c r="C151" s="8"/>
      <c r="D151" s="8"/>
      <c r="E151" s="8"/>
      <c r="F151" s="8"/>
      <c r="G151" s="8"/>
      <c r="H151" s="8"/>
      <c r="I151" s="8"/>
      <c r="J151" s="8"/>
      <c r="K151" s="8"/>
      <c r="L151" s="8"/>
      <c r="M151" s="8"/>
      <c r="N151" s="8"/>
      <c r="O151" s="8"/>
      <c r="P151" s="8"/>
      <c r="Q151" s="8"/>
      <c r="R151" s="8"/>
    </row>
    <row r="152" spans="3:18" x14ac:dyDescent="0.2">
      <c r="C152" s="8"/>
      <c r="D152" s="8"/>
      <c r="E152" s="8"/>
      <c r="F152" s="8"/>
      <c r="G152" s="8"/>
      <c r="H152" s="8"/>
      <c r="I152" s="8"/>
      <c r="J152" s="8"/>
      <c r="K152" s="8"/>
      <c r="L152" s="8"/>
      <c r="M152" s="8"/>
      <c r="N152" s="8"/>
      <c r="O152" s="8"/>
      <c r="P152" s="8"/>
      <c r="Q152" s="8"/>
      <c r="R152" s="8"/>
    </row>
    <row r="153" spans="3:18" x14ac:dyDescent="0.2">
      <c r="C153" s="8"/>
      <c r="D153" s="8"/>
      <c r="E153" s="8"/>
      <c r="F153" s="8"/>
      <c r="G153" s="8"/>
      <c r="H153" s="8"/>
      <c r="I153" s="8"/>
      <c r="J153" s="8"/>
      <c r="K153" s="8"/>
      <c r="L153" s="8"/>
      <c r="M153" s="8"/>
      <c r="N153" s="8"/>
      <c r="O153" s="8"/>
      <c r="P153" s="8"/>
      <c r="Q153" s="8"/>
      <c r="R153" s="8"/>
    </row>
    <row r="154" spans="3:18" x14ac:dyDescent="0.2">
      <c r="C154" s="8"/>
      <c r="D154" s="8"/>
      <c r="E154" s="8"/>
      <c r="F154" s="8"/>
      <c r="G154" s="8"/>
      <c r="H154" s="8"/>
      <c r="I154" s="8"/>
      <c r="J154" s="8"/>
      <c r="K154" s="8"/>
      <c r="L154" s="8"/>
      <c r="M154" s="8"/>
      <c r="N154" s="8"/>
      <c r="O154" s="8"/>
      <c r="P154" s="8"/>
      <c r="Q154" s="8"/>
      <c r="R154" s="8"/>
    </row>
    <row r="155" spans="3:18" x14ac:dyDescent="0.2">
      <c r="C155" s="8"/>
      <c r="D155" s="8"/>
      <c r="E155" s="8"/>
      <c r="F155" s="8"/>
      <c r="G155" s="8"/>
      <c r="H155" s="8"/>
      <c r="I155" s="8"/>
      <c r="J155" s="8"/>
      <c r="K155" s="8"/>
      <c r="L155" s="8"/>
      <c r="M155" s="8"/>
      <c r="N155" s="8"/>
      <c r="O155" s="8"/>
      <c r="P155" s="8"/>
      <c r="Q155" s="8"/>
      <c r="R155" s="8"/>
    </row>
    <row r="156" spans="3:18" x14ac:dyDescent="0.2">
      <c r="C156" s="8"/>
      <c r="D156" s="8"/>
      <c r="E156" s="8"/>
      <c r="F156" s="8"/>
      <c r="G156" s="8"/>
      <c r="H156" s="8"/>
      <c r="I156" s="8"/>
      <c r="J156" s="8"/>
      <c r="K156" s="8"/>
      <c r="L156" s="8"/>
      <c r="M156" s="8"/>
      <c r="N156" s="8"/>
      <c r="O156" s="8"/>
      <c r="P156" s="8"/>
      <c r="Q156" s="8"/>
      <c r="R156" s="8"/>
    </row>
    <row r="157" spans="3:18" x14ac:dyDescent="0.2">
      <c r="C157" s="8"/>
      <c r="D157" s="8"/>
      <c r="E157" s="8"/>
      <c r="F157" s="8"/>
      <c r="G157" s="8"/>
      <c r="H157" s="8"/>
      <c r="I157" s="8"/>
      <c r="J157" s="8"/>
      <c r="K157" s="8"/>
      <c r="L157" s="8"/>
      <c r="M157" s="8"/>
      <c r="N157" s="8"/>
      <c r="O157" s="8"/>
      <c r="P157" s="8"/>
      <c r="Q157" s="8"/>
      <c r="R157" s="8"/>
    </row>
    <row r="158" spans="3:18" x14ac:dyDescent="0.2">
      <c r="C158" s="8"/>
      <c r="D158" s="8"/>
      <c r="E158" s="8"/>
      <c r="F158" s="8"/>
      <c r="G158" s="8"/>
      <c r="H158" s="8"/>
      <c r="I158" s="8"/>
      <c r="J158" s="8"/>
      <c r="K158" s="8"/>
      <c r="L158" s="8"/>
      <c r="M158" s="8"/>
      <c r="N158" s="8"/>
      <c r="O158" s="8"/>
      <c r="P158" s="8"/>
      <c r="Q158" s="8"/>
      <c r="R158" s="8"/>
    </row>
    <row r="159" spans="3:18" x14ac:dyDescent="0.2">
      <c r="C159" s="8"/>
      <c r="D159" s="8"/>
      <c r="E159" s="8"/>
      <c r="F159" s="8"/>
      <c r="G159" s="8"/>
      <c r="H159" s="8"/>
      <c r="I159" s="8"/>
      <c r="J159" s="8"/>
      <c r="K159" s="8"/>
      <c r="L159" s="8"/>
      <c r="M159" s="8"/>
      <c r="N159" s="8"/>
      <c r="O159" s="8"/>
      <c r="P159" s="8"/>
      <c r="Q159" s="8"/>
      <c r="R159" s="8"/>
    </row>
    <row r="160" spans="3:18" x14ac:dyDescent="0.2">
      <c r="C160" s="8"/>
      <c r="D160" s="8"/>
      <c r="E160" s="8"/>
      <c r="F160" s="8"/>
      <c r="G160" s="8"/>
      <c r="H160" s="8"/>
      <c r="I160" s="8"/>
      <c r="J160" s="8"/>
      <c r="K160" s="8"/>
      <c r="L160" s="8"/>
      <c r="M160" s="8"/>
      <c r="N160" s="8"/>
      <c r="O160" s="8"/>
      <c r="P160" s="8"/>
      <c r="Q160" s="8"/>
      <c r="R160" s="8"/>
    </row>
    <row r="161" spans="3:18" x14ac:dyDescent="0.2">
      <c r="C161" s="8"/>
      <c r="D161" s="8"/>
      <c r="E161" s="8"/>
      <c r="F161" s="8"/>
      <c r="G161" s="8"/>
      <c r="H161" s="8"/>
      <c r="I161" s="8"/>
      <c r="J161" s="8"/>
      <c r="K161" s="8"/>
      <c r="L161" s="8"/>
      <c r="M161" s="8"/>
      <c r="N161" s="8"/>
      <c r="O161" s="8"/>
      <c r="P161" s="8"/>
      <c r="Q161" s="8"/>
      <c r="R161" s="8"/>
    </row>
    <row r="162" spans="3:18" x14ac:dyDescent="0.2">
      <c r="C162" s="8"/>
      <c r="D162" s="8"/>
      <c r="E162" s="8"/>
      <c r="F162" s="8"/>
      <c r="G162" s="8"/>
      <c r="H162" s="8"/>
      <c r="I162" s="8"/>
      <c r="J162" s="8"/>
      <c r="K162" s="8"/>
      <c r="L162" s="8"/>
      <c r="M162" s="8"/>
      <c r="N162" s="8"/>
      <c r="O162" s="8"/>
      <c r="P162" s="8"/>
      <c r="Q162" s="8"/>
      <c r="R162" s="8"/>
    </row>
    <row r="163" spans="3:18" x14ac:dyDescent="0.2">
      <c r="C163" s="8"/>
      <c r="D163" s="8"/>
      <c r="E163" s="8"/>
      <c r="F163" s="8"/>
      <c r="G163" s="8"/>
      <c r="H163" s="8"/>
      <c r="I163" s="8"/>
      <c r="J163" s="8"/>
      <c r="K163" s="8"/>
      <c r="L163" s="8"/>
      <c r="M163" s="8"/>
      <c r="N163" s="8"/>
      <c r="O163" s="8"/>
      <c r="P163" s="8"/>
      <c r="Q163" s="8"/>
      <c r="R163" s="8"/>
    </row>
    <row r="164" spans="3:18" x14ac:dyDescent="0.2">
      <c r="C164" s="8"/>
      <c r="D164" s="8"/>
      <c r="E164" s="8"/>
      <c r="F164" s="8"/>
      <c r="G164" s="8"/>
      <c r="H164" s="8"/>
      <c r="I164" s="8"/>
      <c r="J164" s="8"/>
      <c r="K164" s="8"/>
      <c r="L164" s="8"/>
      <c r="M164" s="8"/>
      <c r="N164" s="8"/>
      <c r="O164" s="8"/>
      <c r="P164" s="8"/>
      <c r="Q164" s="8"/>
      <c r="R164" s="8"/>
    </row>
    <row r="165" spans="3:18" x14ac:dyDescent="0.2">
      <c r="C165" s="8"/>
      <c r="D165" s="8"/>
      <c r="E165" s="8"/>
      <c r="F165" s="8"/>
      <c r="G165" s="8"/>
      <c r="H165" s="8"/>
      <c r="I165" s="8"/>
      <c r="J165" s="8"/>
      <c r="K165" s="8"/>
      <c r="L165" s="8"/>
      <c r="M165" s="8"/>
      <c r="N165" s="8"/>
      <c r="O165" s="8"/>
      <c r="P165" s="8"/>
      <c r="Q165" s="8"/>
      <c r="R165" s="8"/>
    </row>
    <row r="166" spans="3:18" x14ac:dyDescent="0.2">
      <c r="C166" s="8"/>
      <c r="D166" s="8"/>
      <c r="E166" s="8"/>
      <c r="F166" s="8"/>
      <c r="G166" s="8"/>
      <c r="H166" s="8"/>
      <c r="I166" s="8"/>
      <c r="J166" s="8"/>
      <c r="K166" s="8"/>
      <c r="L166" s="8"/>
      <c r="M166" s="8"/>
      <c r="N166" s="8"/>
      <c r="O166" s="8"/>
      <c r="P166" s="8"/>
      <c r="Q166" s="8"/>
      <c r="R166" s="8"/>
    </row>
    <row r="167" spans="3:18" x14ac:dyDescent="0.2">
      <c r="C167" s="8"/>
      <c r="D167" s="8"/>
      <c r="E167" s="8"/>
      <c r="F167" s="8"/>
      <c r="G167" s="8"/>
      <c r="H167" s="8"/>
      <c r="I167" s="8"/>
      <c r="J167" s="8"/>
      <c r="K167" s="8"/>
      <c r="L167" s="8"/>
      <c r="M167" s="8"/>
      <c r="N167" s="8"/>
      <c r="O167" s="8"/>
      <c r="P167" s="8"/>
      <c r="Q167" s="8"/>
      <c r="R167" s="8"/>
    </row>
    <row r="168" spans="3:18" x14ac:dyDescent="0.2">
      <c r="C168" s="8"/>
      <c r="D168" s="8"/>
      <c r="E168" s="8"/>
      <c r="F168" s="8"/>
      <c r="G168" s="8"/>
      <c r="H168" s="8"/>
      <c r="I168" s="8"/>
      <c r="J168" s="8"/>
      <c r="K168" s="8"/>
      <c r="L168" s="8"/>
      <c r="M168" s="8"/>
      <c r="N168" s="8"/>
      <c r="O168" s="8"/>
      <c r="P168" s="8"/>
      <c r="Q168" s="8"/>
      <c r="R168" s="8"/>
    </row>
    <row r="169" spans="3:18" x14ac:dyDescent="0.2">
      <c r="C169" s="8"/>
      <c r="D169" s="8"/>
      <c r="E169" s="8"/>
      <c r="F169" s="8"/>
      <c r="G169" s="8"/>
      <c r="H169" s="8"/>
      <c r="I169" s="8"/>
      <c r="J169" s="8"/>
      <c r="K169" s="8"/>
      <c r="L169" s="8"/>
      <c r="M169" s="8"/>
      <c r="N169" s="8"/>
      <c r="O169" s="8"/>
      <c r="P169" s="8"/>
      <c r="Q169" s="8"/>
      <c r="R169" s="8"/>
    </row>
    <row r="170" spans="3:18" x14ac:dyDescent="0.2">
      <c r="C170" s="8"/>
      <c r="D170" s="8"/>
      <c r="E170" s="8"/>
      <c r="F170" s="8"/>
      <c r="G170" s="8"/>
      <c r="H170" s="8"/>
      <c r="I170" s="8"/>
      <c r="J170" s="8"/>
      <c r="K170" s="8"/>
      <c r="L170" s="8"/>
      <c r="M170" s="8"/>
      <c r="N170" s="8"/>
      <c r="O170" s="8"/>
      <c r="P170" s="8"/>
      <c r="Q170" s="8"/>
      <c r="R170" s="8"/>
    </row>
    <row r="171" spans="3:18" x14ac:dyDescent="0.2">
      <c r="C171" s="8"/>
      <c r="D171" s="8"/>
      <c r="E171" s="8"/>
      <c r="F171" s="8"/>
      <c r="G171" s="8"/>
      <c r="H171" s="8"/>
      <c r="I171" s="8"/>
      <c r="J171" s="8"/>
      <c r="K171" s="8"/>
      <c r="L171" s="8"/>
      <c r="M171" s="8"/>
      <c r="N171" s="8"/>
      <c r="O171" s="8"/>
      <c r="P171" s="8"/>
      <c r="Q171" s="8"/>
      <c r="R171" s="8"/>
    </row>
    <row r="172" spans="3:18" x14ac:dyDescent="0.2">
      <c r="C172" s="8"/>
      <c r="D172" s="8"/>
      <c r="E172" s="8"/>
      <c r="F172" s="8"/>
      <c r="G172" s="8"/>
      <c r="H172" s="8"/>
      <c r="I172" s="8"/>
      <c r="J172" s="8"/>
      <c r="K172" s="8"/>
      <c r="L172" s="8"/>
      <c r="M172" s="8"/>
      <c r="N172" s="8"/>
      <c r="O172" s="8"/>
      <c r="P172" s="8"/>
      <c r="Q172" s="8"/>
      <c r="R172" s="8"/>
    </row>
    <row r="173" spans="3:18" x14ac:dyDescent="0.2">
      <c r="C173" s="8"/>
      <c r="D173" s="8"/>
      <c r="E173" s="8"/>
      <c r="F173" s="8"/>
      <c r="G173" s="8"/>
      <c r="H173" s="8"/>
      <c r="I173" s="8"/>
      <c r="J173" s="8"/>
      <c r="K173" s="8"/>
      <c r="L173" s="8"/>
      <c r="M173" s="8"/>
      <c r="N173" s="8"/>
      <c r="O173" s="8"/>
      <c r="P173" s="8"/>
      <c r="Q173" s="8"/>
      <c r="R173" s="8"/>
    </row>
    <row r="174" spans="3:18" x14ac:dyDescent="0.2">
      <c r="C174" s="8"/>
      <c r="D174" s="8"/>
      <c r="E174" s="8"/>
      <c r="F174" s="8"/>
      <c r="G174" s="8"/>
      <c r="H174" s="8"/>
      <c r="I174" s="8"/>
      <c r="J174" s="8"/>
      <c r="K174" s="8"/>
      <c r="L174" s="8"/>
      <c r="M174" s="8"/>
      <c r="N174" s="8"/>
      <c r="O174" s="8"/>
      <c r="P174" s="8"/>
      <c r="Q174" s="8"/>
      <c r="R174" s="8"/>
    </row>
    <row r="175" spans="3:18" x14ac:dyDescent="0.2">
      <c r="C175" s="8"/>
      <c r="D175" s="8"/>
      <c r="E175" s="8"/>
      <c r="F175" s="8"/>
      <c r="G175" s="8"/>
      <c r="H175" s="8"/>
      <c r="I175" s="8"/>
      <c r="J175" s="8"/>
      <c r="K175" s="8"/>
      <c r="L175" s="8"/>
      <c r="M175" s="8"/>
      <c r="N175" s="8"/>
      <c r="O175" s="8"/>
      <c r="P175" s="8"/>
      <c r="Q175" s="8"/>
      <c r="R175" s="8"/>
    </row>
    <row r="176" spans="3:18" x14ac:dyDescent="0.2">
      <c r="C176" s="8"/>
      <c r="D176" s="8"/>
      <c r="E176" s="8"/>
      <c r="F176" s="8"/>
      <c r="G176" s="8"/>
      <c r="H176" s="8"/>
      <c r="I176" s="8"/>
      <c r="J176" s="8"/>
      <c r="K176" s="8"/>
      <c r="L176" s="8"/>
      <c r="M176" s="8"/>
      <c r="N176" s="8"/>
      <c r="O176" s="8"/>
      <c r="P176" s="8"/>
      <c r="Q176" s="8"/>
      <c r="R176" s="8"/>
    </row>
    <row r="177" spans="3:18" x14ac:dyDescent="0.2">
      <c r="C177" s="8"/>
      <c r="D177" s="8"/>
      <c r="E177" s="8"/>
      <c r="F177" s="8"/>
      <c r="G177" s="8"/>
      <c r="H177" s="8"/>
      <c r="I177" s="8"/>
      <c r="J177" s="8"/>
      <c r="K177" s="8"/>
      <c r="L177" s="8"/>
      <c r="M177" s="8"/>
      <c r="N177" s="8"/>
      <c r="O177" s="8"/>
      <c r="P177" s="8"/>
      <c r="Q177" s="8"/>
      <c r="R177" s="8"/>
    </row>
    <row r="178" spans="3:18" x14ac:dyDescent="0.2">
      <c r="C178" s="8"/>
      <c r="D178" s="8"/>
      <c r="E178" s="8"/>
      <c r="F178" s="8"/>
      <c r="G178" s="8"/>
      <c r="H178" s="8"/>
      <c r="I178" s="8"/>
      <c r="J178" s="8"/>
      <c r="K178" s="8"/>
      <c r="L178" s="8"/>
      <c r="M178" s="8"/>
      <c r="N178" s="8"/>
      <c r="O178" s="8"/>
      <c r="P178" s="8"/>
      <c r="Q178" s="8"/>
      <c r="R178" s="8"/>
    </row>
    <row r="179" spans="3:18" x14ac:dyDescent="0.2">
      <c r="C179" s="8"/>
      <c r="D179" s="8"/>
      <c r="E179" s="8"/>
      <c r="F179" s="8"/>
      <c r="G179" s="8"/>
      <c r="H179" s="8"/>
      <c r="I179" s="8"/>
      <c r="J179" s="8"/>
      <c r="K179" s="8"/>
      <c r="L179" s="8"/>
      <c r="M179" s="8"/>
      <c r="N179" s="8"/>
      <c r="O179" s="8"/>
      <c r="P179" s="8"/>
      <c r="Q179" s="8"/>
      <c r="R179" s="8"/>
    </row>
    <row r="180" spans="3:18" x14ac:dyDescent="0.2">
      <c r="C180" s="8"/>
      <c r="D180" s="8"/>
      <c r="E180" s="8"/>
      <c r="F180" s="8"/>
      <c r="G180" s="8"/>
      <c r="H180" s="8"/>
      <c r="I180" s="8"/>
      <c r="J180" s="8"/>
      <c r="K180" s="8"/>
      <c r="L180" s="8"/>
      <c r="M180" s="8"/>
      <c r="N180" s="8"/>
      <c r="O180" s="8"/>
      <c r="P180" s="8"/>
      <c r="Q180" s="8"/>
      <c r="R180" s="8"/>
    </row>
    <row r="181" spans="3:18" x14ac:dyDescent="0.2">
      <c r="C181" s="8"/>
      <c r="D181" s="8"/>
      <c r="E181" s="8"/>
      <c r="F181" s="8"/>
      <c r="G181" s="8"/>
      <c r="H181" s="8"/>
      <c r="I181" s="8"/>
      <c r="J181" s="8"/>
      <c r="K181" s="8"/>
      <c r="L181" s="8"/>
      <c r="M181" s="8"/>
      <c r="N181" s="8"/>
      <c r="O181" s="8"/>
      <c r="P181" s="8"/>
      <c r="Q181" s="8"/>
      <c r="R181" s="8"/>
    </row>
    <row r="182" spans="3:18" x14ac:dyDescent="0.2">
      <c r="C182" s="8"/>
      <c r="D182" s="8"/>
      <c r="E182" s="8"/>
      <c r="F182" s="8"/>
      <c r="G182" s="8"/>
      <c r="H182" s="8"/>
      <c r="I182" s="8"/>
      <c r="J182" s="8"/>
      <c r="K182" s="8"/>
      <c r="L182" s="8"/>
      <c r="M182" s="8"/>
      <c r="N182" s="8"/>
      <c r="O182" s="8"/>
      <c r="P182" s="8"/>
      <c r="Q182" s="8"/>
      <c r="R182" s="8"/>
    </row>
    <row r="183" spans="3:18" x14ac:dyDescent="0.2">
      <c r="C183" s="8"/>
      <c r="D183" s="8"/>
      <c r="E183" s="8"/>
      <c r="F183" s="8"/>
      <c r="G183" s="8"/>
      <c r="H183" s="8"/>
      <c r="I183" s="8"/>
      <c r="J183" s="8"/>
      <c r="K183" s="8"/>
      <c r="L183" s="8"/>
      <c r="M183" s="8"/>
      <c r="N183" s="8"/>
      <c r="O183" s="8"/>
      <c r="P183" s="8"/>
      <c r="Q183" s="8"/>
      <c r="R183" s="8"/>
    </row>
    <row r="184" spans="3:18" x14ac:dyDescent="0.2">
      <c r="C184" s="8"/>
      <c r="D184" s="8"/>
      <c r="E184" s="8"/>
      <c r="F184" s="8"/>
      <c r="G184" s="8"/>
      <c r="H184" s="8"/>
      <c r="I184" s="8"/>
      <c r="J184" s="8"/>
      <c r="K184" s="8"/>
      <c r="L184" s="8"/>
      <c r="M184" s="8"/>
      <c r="N184" s="8"/>
      <c r="O184" s="8"/>
      <c r="P184" s="8"/>
      <c r="Q184" s="8"/>
      <c r="R184" s="8"/>
    </row>
    <row r="185" spans="3:18" x14ac:dyDescent="0.2">
      <c r="C185" s="8"/>
      <c r="D185" s="8"/>
      <c r="E185" s="8"/>
      <c r="F185" s="8"/>
      <c r="G185" s="8"/>
      <c r="H185" s="8"/>
      <c r="I185" s="8"/>
      <c r="J185" s="8"/>
      <c r="K185" s="8"/>
      <c r="L185" s="8"/>
      <c r="M185" s="8"/>
      <c r="N185" s="8"/>
      <c r="O185" s="8"/>
      <c r="P185" s="8"/>
      <c r="Q185" s="8"/>
      <c r="R185" s="8"/>
    </row>
    <row r="186" spans="3:18" x14ac:dyDescent="0.2">
      <c r="C186" s="8"/>
      <c r="D186" s="8"/>
      <c r="E186" s="8"/>
      <c r="F186" s="8"/>
      <c r="G186" s="8"/>
      <c r="H186" s="8"/>
      <c r="I186" s="8"/>
      <c r="J186" s="8"/>
      <c r="K186" s="8"/>
      <c r="L186" s="8"/>
      <c r="M186" s="8"/>
      <c r="N186" s="8"/>
      <c r="O186" s="8"/>
      <c r="P186" s="8"/>
      <c r="Q186" s="8"/>
      <c r="R186" s="8"/>
    </row>
    <row r="187" spans="3:18" x14ac:dyDescent="0.2">
      <c r="C187" s="8"/>
      <c r="D187" s="8"/>
      <c r="E187" s="8"/>
      <c r="F187" s="8"/>
      <c r="G187" s="8"/>
      <c r="H187" s="8"/>
      <c r="I187" s="8"/>
      <c r="J187" s="8"/>
      <c r="K187" s="8"/>
      <c r="L187" s="8"/>
      <c r="M187" s="8"/>
      <c r="N187" s="8"/>
      <c r="O187" s="8"/>
      <c r="P187" s="8"/>
      <c r="Q187" s="8"/>
      <c r="R187" s="8"/>
    </row>
    <row r="188" spans="3:18" x14ac:dyDescent="0.2">
      <c r="C188" s="8"/>
      <c r="D188" s="8"/>
      <c r="E188" s="8"/>
      <c r="F188" s="8"/>
      <c r="G188" s="8"/>
      <c r="H188" s="8"/>
      <c r="I188" s="8"/>
      <c r="J188" s="8"/>
      <c r="K188" s="8"/>
      <c r="L188" s="8"/>
      <c r="M188" s="8"/>
      <c r="N188" s="8"/>
      <c r="O188" s="8"/>
      <c r="P188" s="8"/>
      <c r="Q188" s="8"/>
      <c r="R188" s="8"/>
    </row>
    <row r="189" spans="3:18" x14ac:dyDescent="0.2">
      <c r="C189" s="8"/>
      <c r="D189" s="8"/>
      <c r="E189" s="8"/>
      <c r="F189" s="8"/>
      <c r="G189" s="8"/>
      <c r="H189" s="8"/>
      <c r="I189" s="8"/>
      <c r="J189" s="8"/>
      <c r="K189" s="8"/>
      <c r="L189" s="8"/>
      <c r="M189" s="8"/>
      <c r="N189" s="8"/>
      <c r="O189" s="8"/>
      <c r="P189" s="8"/>
      <c r="Q189" s="8"/>
      <c r="R189" s="8"/>
    </row>
    <row r="190" spans="3:18" x14ac:dyDescent="0.2">
      <c r="C190" s="8"/>
      <c r="D190" s="8"/>
      <c r="E190" s="8"/>
      <c r="F190" s="8"/>
      <c r="G190" s="8"/>
      <c r="H190" s="8"/>
      <c r="I190" s="8"/>
      <c r="J190" s="8"/>
      <c r="K190" s="8"/>
      <c r="L190" s="8"/>
      <c r="M190" s="8"/>
      <c r="N190" s="8"/>
      <c r="O190" s="8"/>
      <c r="P190" s="8"/>
      <c r="Q190" s="8"/>
      <c r="R190" s="8"/>
    </row>
    <row r="191" spans="3:18" x14ac:dyDescent="0.2">
      <c r="C191" s="8"/>
      <c r="D191" s="8"/>
      <c r="E191" s="8"/>
      <c r="F191" s="8"/>
      <c r="G191" s="8"/>
      <c r="H191" s="8"/>
      <c r="I191" s="8"/>
      <c r="J191" s="8"/>
      <c r="K191" s="8"/>
      <c r="L191" s="8"/>
      <c r="M191" s="8"/>
      <c r="N191" s="8"/>
      <c r="O191" s="8"/>
      <c r="P191" s="8"/>
      <c r="Q191" s="8"/>
      <c r="R191" s="8"/>
    </row>
    <row r="192" spans="3:18" x14ac:dyDescent="0.2">
      <c r="C192" s="8"/>
      <c r="D192" s="8"/>
      <c r="E192" s="8"/>
      <c r="F192" s="8"/>
      <c r="G192" s="8"/>
      <c r="H192" s="8"/>
      <c r="I192" s="8"/>
      <c r="J192" s="8"/>
      <c r="K192" s="8"/>
      <c r="L192" s="8"/>
      <c r="M192" s="8"/>
      <c r="N192" s="8"/>
      <c r="O192" s="8"/>
      <c r="P192" s="8"/>
      <c r="Q192" s="8"/>
      <c r="R192" s="8"/>
    </row>
    <row r="193" spans="3:18" x14ac:dyDescent="0.2">
      <c r="C193" s="8"/>
      <c r="D193" s="8"/>
      <c r="E193" s="8"/>
      <c r="F193" s="8"/>
      <c r="G193" s="8"/>
      <c r="H193" s="8"/>
      <c r="I193" s="8"/>
      <c r="J193" s="8"/>
      <c r="K193" s="8"/>
      <c r="L193" s="8"/>
      <c r="M193" s="8"/>
      <c r="N193" s="8"/>
      <c r="O193" s="8"/>
      <c r="P193" s="8"/>
      <c r="Q193" s="8"/>
      <c r="R193" s="8"/>
    </row>
    <row r="194" spans="3:18" x14ac:dyDescent="0.2">
      <c r="C194" s="8"/>
      <c r="D194" s="8"/>
      <c r="E194" s="8"/>
      <c r="F194" s="8"/>
      <c r="G194" s="8"/>
      <c r="H194" s="8"/>
      <c r="I194" s="8"/>
      <c r="J194" s="8"/>
      <c r="K194" s="8"/>
      <c r="L194" s="8"/>
      <c r="M194" s="8"/>
      <c r="N194" s="8"/>
      <c r="O194" s="8"/>
      <c r="P194" s="8"/>
      <c r="Q194" s="8"/>
      <c r="R194" s="8"/>
    </row>
    <row r="195" spans="3:18" x14ac:dyDescent="0.2">
      <c r="C195" s="8"/>
      <c r="D195" s="8"/>
      <c r="E195" s="8"/>
      <c r="F195" s="8"/>
      <c r="G195" s="8"/>
      <c r="H195" s="8"/>
      <c r="I195" s="8"/>
      <c r="J195" s="8"/>
      <c r="K195" s="8"/>
      <c r="L195" s="8"/>
      <c r="M195" s="8"/>
      <c r="N195" s="8"/>
      <c r="O195" s="8"/>
      <c r="P195" s="8"/>
      <c r="Q195" s="8"/>
      <c r="R195" s="8"/>
    </row>
    <row r="196" spans="3:18" x14ac:dyDescent="0.2">
      <c r="C196" s="8"/>
      <c r="D196" s="8"/>
      <c r="E196" s="8"/>
      <c r="F196" s="8"/>
      <c r="G196" s="8"/>
      <c r="H196" s="8"/>
      <c r="I196" s="8"/>
      <c r="J196" s="8"/>
      <c r="K196" s="8"/>
      <c r="L196" s="8"/>
      <c r="M196" s="8"/>
      <c r="N196" s="8"/>
      <c r="O196" s="8"/>
      <c r="P196" s="8"/>
      <c r="Q196" s="8"/>
      <c r="R196" s="8"/>
    </row>
    <row r="197" spans="3:18" x14ac:dyDescent="0.2">
      <c r="C197" s="8"/>
      <c r="D197" s="8"/>
      <c r="E197" s="8"/>
      <c r="F197" s="8"/>
      <c r="G197" s="8"/>
      <c r="H197" s="8"/>
      <c r="I197" s="8"/>
      <c r="J197" s="8"/>
      <c r="K197" s="8"/>
      <c r="L197" s="8"/>
      <c r="M197" s="8"/>
      <c r="N197" s="8"/>
      <c r="O197" s="8"/>
      <c r="P197" s="8"/>
      <c r="Q197" s="8"/>
      <c r="R197" s="8"/>
    </row>
    <row r="198" spans="3:18" x14ac:dyDescent="0.2">
      <c r="C198" s="8"/>
      <c r="D198" s="8"/>
      <c r="E198" s="8"/>
      <c r="F198" s="8"/>
      <c r="G198" s="8"/>
      <c r="H198" s="8"/>
      <c r="I198" s="8"/>
      <c r="J198" s="8"/>
      <c r="K198" s="8"/>
      <c r="L198" s="8"/>
      <c r="M198" s="8"/>
      <c r="N198" s="8"/>
      <c r="O198" s="8"/>
      <c r="P198" s="8"/>
      <c r="Q198" s="8"/>
      <c r="R198" s="8"/>
    </row>
    <row r="199" spans="3:18" x14ac:dyDescent="0.2">
      <c r="C199" s="8"/>
      <c r="D199" s="8"/>
      <c r="E199" s="8"/>
      <c r="F199" s="8"/>
      <c r="G199" s="8"/>
      <c r="H199" s="8"/>
      <c r="I199" s="8"/>
      <c r="J199" s="8"/>
      <c r="K199" s="8"/>
      <c r="L199" s="8"/>
      <c r="M199" s="8"/>
      <c r="N199" s="8"/>
      <c r="O199" s="8"/>
      <c r="P199" s="8"/>
      <c r="Q199" s="8"/>
      <c r="R199" s="8"/>
    </row>
    <row r="200" spans="3:18" x14ac:dyDescent="0.2">
      <c r="C200" s="8"/>
      <c r="D200" s="8"/>
      <c r="E200" s="8"/>
      <c r="F200" s="8"/>
      <c r="G200" s="8"/>
      <c r="H200" s="8"/>
      <c r="I200" s="8"/>
      <c r="J200" s="8"/>
      <c r="K200" s="8"/>
      <c r="L200" s="8"/>
      <c r="M200" s="8"/>
      <c r="N200" s="8"/>
      <c r="O200" s="8"/>
      <c r="P200" s="8"/>
      <c r="Q200" s="8"/>
      <c r="R200" s="8"/>
    </row>
    <row r="201" spans="3:18" x14ac:dyDescent="0.2">
      <c r="C201" s="8"/>
      <c r="D201" s="8"/>
      <c r="E201" s="8"/>
      <c r="F201" s="8"/>
      <c r="G201" s="8"/>
      <c r="H201" s="8"/>
      <c r="I201" s="8"/>
      <c r="J201" s="8"/>
      <c r="K201" s="8"/>
      <c r="L201" s="8"/>
      <c r="M201" s="8"/>
      <c r="N201" s="8"/>
      <c r="O201" s="8"/>
      <c r="P201" s="8"/>
      <c r="Q201" s="8"/>
      <c r="R201" s="8"/>
    </row>
    <row r="202" spans="3:18" x14ac:dyDescent="0.2">
      <c r="C202" s="8"/>
      <c r="D202" s="8"/>
      <c r="E202" s="8"/>
      <c r="F202" s="8"/>
      <c r="G202" s="8"/>
      <c r="H202" s="8"/>
      <c r="I202" s="8"/>
      <c r="J202" s="8"/>
      <c r="K202" s="8"/>
      <c r="L202" s="8"/>
      <c r="M202" s="8"/>
      <c r="N202" s="8"/>
      <c r="O202" s="8"/>
      <c r="P202" s="8"/>
      <c r="Q202" s="8"/>
      <c r="R202" s="8"/>
    </row>
    <row r="203" spans="3:18" x14ac:dyDescent="0.2">
      <c r="C203" s="8"/>
      <c r="D203" s="8"/>
      <c r="E203" s="8"/>
      <c r="F203" s="8"/>
      <c r="G203" s="8"/>
      <c r="H203" s="8"/>
      <c r="I203" s="8"/>
      <c r="J203" s="8"/>
      <c r="K203" s="8"/>
      <c r="L203" s="8"/>
      <c r="M203" s="8"/>
      <c r="N203" s="8"/>
      <c r="O203" s="8"/>
      <c r="P203" s="8"/>
      <c r="Q203" s="8"/>
      <c r="R203" s="8"/>
    </row>
    <row r="204" spans="3:18" x14ac:dyDescent="0.2">
      <c r="C204" s="8"/>
      <c r="D204" s="8"/>
      <c r="E204" s="8"/>
      <c r="F204" s="8"/>
      <c r="G204" s="8"/>
      <c r="H204" s="8"/>
      <c r="I204" s="8"/>
      <c r="J204" s="8"/>
      <c r="K204" s="8"/>
      <c r="L204" s="8"/>
      <c r="M204" s="8"/>
      <c r="N204" s="8"/>
      <c r="O204" s="8"/>
      <c r="P204" s="8"/>
      <c r="Q204" s="8"/>
      <c r="R204" s="8"/>
    </row>
    <row r="205" spans="3:18" x14ac:dyDescent="0.2">
      <c r="C205" s="8"/>
      <c r="D205" s="8"/>
      <c r="E205" s="8"/>
      <c r="F205" s="8"/>
      <c r="G205" s="8"/>
      <c r="H205" s="8"/>
      <c r="I205" s="8"/>
      <c r="J205" s="8"/>
      <c r="K205" s="8"/>
      <c r="L205" s="8"/>
      <c r="M205" s="8"/>
      <c r="N205" s="8"/>
      <c r="O205" s="8"/>
      <c r="P205" s="8"/>
      <c r="Q205" s="8"/>
      <c r="R205" s="8"/>
    </row>
    <row r="206" spans="3:18" x14ac:dyDescent="0.2">
      <c r="C206" s="8"/>
      <c r="D206" s="8"/>
      <c r="E206" s="8"/>
      <c r="F206" s="8"/>
      <c r="G206" s="8"/>
      <c r="H206" s="8"/>
      <c r="I206" s="8"/>
      <c r="J206" s="8"/>
      <c r="K206" s="8"/>
      <c r="L206" s="8"/>
      <c r="M206" s="8"/>
      <c r="N206" s="8"/>
      <c r="O206" s="8"/>
      <c r="P206" s="8"/>
      <c r="Q206" s="8"/>
      <c r="R206" s="8"/>
    </row>
    <row r="207" spans="3:18" x14ac:dyDescent="0.2">
      <c r="C207" s="8"/>
      <c r="D207" s="8"/>
      <c r="E207" s="8"/>
      <c r="F207" s="8"/>
      <c r="G207" s="8"/>
      <c r="H207" s="8"/>
      <c r="I207" s="8"/>
      <c r="J207" s="8"/>
      <c r="K207" s="8"/>
      <c r="L207" s="8"/>
      <c r="M207" s="8"/>
      <c r="N207" s="8"/>
      <c r="O207" s="8"/>
      <c r="P207" s="8"/>
      <c r="Q207" s="8"/>
      <c r="R207" s="8"/>
    </row>
    <row r="208" spans="3:18" x14ac:dyDescent="0.2">
      <c r="C208" s="8"/>
      <c r="D208" s="8"/>
      <c r="E208" s="8"/>
      <c r="F208" s="8"/>
      <c r="G208" s="8"/>
      <c r="H208" s="8"/>
      <c r="I208" s="8"/>
      <c r="J208" s="8"/>
      <c r="K208" s="8"/>
      <c r="L208" s="8"/>
      <c r="M208" s="8"/>
      <c r="N208" s="8"/>
      <c r="O208" s="8"/>
      <c r="P208" s="8"/>
      <c r="Q208" s="8"/>
      <c r="R208" s="8"/>
    </row>
    <row r="209" spans="3:18" x14ac:dyDescent="0.2">
      <c r="C209" s="8"/>
      <c r="D209" s="8"/>
      <c r="E209" s="8"/>
      <c r="F209" s="8"/>
      <c r="G209" s="8"/>
      <c r="H209" s="8"/>
      <c r="I209" s="8"/>
      <c r="J209" s="8"/>
      <c r="K209" s="8"/>
      <c r="L209" s="8"/>
      <c r="M209" s="8"/>
      <c r="N209" s="8"/>
      <c r="O209" s="8"/>
      <c r="P209" s="8"/>
      <c r="Q209" s="8"/>
      <c r="R209" s="8"/>
    </row>
    <row r="210" spans="3:18" x14ac:dyDescent="0.2">
      <c r="C210" s="8"/>
      <c r="D210" s="8"/>
      <c r="E210" s="8"/>
      <c r="F210" s="8"/>
      <c r="G210" s="8"/>
      <c r="H210" s="8"/>
      <c r="I210" s="8"/>
      <c r="J210" s="8"/>
      <c r="K210" s="8"/>
      <c r="L210" s="8"/>
      <c r="M210" s="8"/>
      <c r="N210" s="8"/>
      <c r="O210" s="8"/>
      <c r="P210" s="8"/>
      <c r="Q210" s="8"/>
      <c r="R210" s="8"/>
    </row>
    <row r="211" spans="3:18" x14ac:dyDescent="0.2">
      <c r="C211" s="8"/>
      <c r="D211" s="8"/>
      <c r="E211" s="8"/>
      <c r="F211" s="8"/>
      <c r="G211" s="8"/>
      <c r="H211" s="8"/>
      <c r="I211" s="8"/>
      <c r="J211" s="8"/>
      <c r="K211" s="8"/>
      <c r="L211" s="8"/>
      <c r="M211" s="8"/>
      <c r="N211" s="8"/>
      <c r="O211" s="8"/>
      <c r="P211" s="8"/>
      <c r="Q211" s="8"/>
      <c r="R211" s="8"/>
    </row>
    <row r="212" spans="3:18" x14ac:dyDescent="0.2">
      <c r="C212" s="8"/>
      <c r="D212" s="8"/>
      <c r="E212" s="8"/>
      <c r="F212" s="8"/>
      <c r="G212" s="8"/>
      <c r="H212" s="8"/>
      <c r="I212" s="8"/>
      <c r="J212" s="8"/>
      <c r="K212" s="8"/>
      <c r="L212" s="8"/>
      <c r="M212" s="8"/>
      <c r="N212" s="8"/>
      <c r="O212" s="8"/>
      <c r="P212" s="8"/>
      <c r="Q212" s="8"/>
      <c r="R212" s="8"/>
    </row>
    <row r="213" spans="3:18" x14ac:dyDescent="0.2">
      <c r="C213" s="8"/>
      <c r="D213" s="8"/>
      <c r="E213" s="8"/>
      <c r="F213" s="8"/>
      <c r="G213" s="8"/>
      <c r="H213" s="8"/>
      <c r="I213" s="8"/>
      <c r="J213" s="8"/>
      <c r="K213" s="8"/>
      <c r="L213" s="8"/>
      <c r="M213" s="8"/>
      <c r="N213" s="8"/>
      <c r="O213" s="8"/>
      <c r="P213" s="8"/>
      <c r="Q213" s="8"/>
      <c r="R213" s="8"/>
    </row>
    <row r="214" spans="3:18" x14ac:dyDescent="0.2">
      <c r="C214" s="8"/>
      <c r="D214" s="8"/>
      <c r="E214" s="8"/>
      <c r="F214" s="8"/>
      <c r="G214" s="8"/>
      <c r="H214" s="8"/>
      <c r="I214" s="8"/>
      <c r="J214" s="8"/>
      <c r="K214" s="8"/>
      <c r="L214" s="8"/>
      <c r="M214" s="8"/>
      <c r="N214" s="8"/>
      <c r="O214" s="8"/>
      <c r="P214" s="8"/>
      <c r="Q214" s="8"/>
      <c r="R214" s="8"/>
    </row>
    <row r="215" spans="3:18" x14ac:dyDescent="0.2">
      <c r="C215" s="8"/>
      <c r="D215" s="8"/>
      <c r="E215" s="8"/>
      <c r="F215" s="8"/>
      <c r="G215" s="8"/>
      <c r="H215" s="8"/>
      <c r="I215" s="8"/>
      <c r="J215" s="8"/>
      <c r="K215" s="8"/>
      <c r="L215" s="8"/>
      <c r="M215" s="8"/>
      <c r="N215" s="8"/>
      <c r="O215" s="8"/>
      <c r="P215" s="8"/>
      <c r="Q215" s="8"/>
      <c r="R215" s="8"/>
    </row>
    <row r="216" spans="3:18" x14ac:dyDescent="0.2">
      <c r="C216" s="8"/>
      <c r="D216" s="8"/>
      <c r="E216" s="8"/>
      <c r="F216" s="8"/>
      <c r="G216" s="8"/>
      <c r="H216" s="8"/>
      <c r="I216" s="8"/>
      <c r="J216" s="8"/>
      <c r="K216" s="8"/>
      <c r="L216" s="8"/>
      <c r="M216" s="8"/>
      <c r="N216" s="8"/>
      <c r="O216" s="8"/>
      <c r="P216" s="8"/>
      <c r="Q216" s="8"/>
      <c r="R216" s="8"/>
    </row>
    <row r="217" spans="3:18" x14ac:dyDescent="0.2">
      <c r="C217" s="8"/>
      <c r="D217" s="8"/>
      <c r="E217" s="8"/>
      <c r="F217" s="8"/>
      <c r="G217" s="8"/>
      <c r="H217" s="8"/>
      <c r="I217" s="8"/>
      <c r="J217" s="8"/>
      <c r="K217" s="8"/>
      <c r="L217" s="8"/>
      <c r="M217" s="8"/>
      <c r="N217" s="8"/>
      <c r="O217" s="8"/>
      <c r="P217" s="8"/>
      <c r="Q217" s="8"/>
      <c r="R217" s="8"/>
    </row>
    <row r="218" spans="3:18" x14ac:dyDescent="0.2">
      <c r="C218" s="8"/>
      <c r="D218" s="8"/>
      <c r="E218" s="8"/>
      <c r="F218" s="8"/>
      <c r="G218" s="8"/>
      <c r="H218" s="8"/>
      <c r="I218" s="8"/>
      <c r="J218" s="8"/>
      <c r="K218" s="8"/>
      <c r="L218" s="8"/>
      <c r="M218" s="8"/>
      <c r="N218" s="8"/>
      <c r="O218" s="8"/>
      <c r="P218" s="8"/>
      <c r="Q218" s="8"/>
      <c r="R218" s="8"/>
    </row>
    <row r="219" spans="3:18" x14ac:dyDescent="0.2">
      <c r="C219" s="8"/>
      <c r="D219" s="8"/>
      <c r="E219" s="8"/>
      <c r="F219" s="8"/>
      <c r="G219" s="8"/>
      <c r="H219" s="8"/>
      <c r="I219" s="8"/>
      <c r="J219" s="8"/>
      <c r="K219" s="8"/>
      <c r="L219" s="8"/>
      <c r="M219" s="8"/>
      <c r="N219" s="8"/>
      <c r="O219" s="8"/>
      <c r="P219" s="8"/>
      <c r="Q219" s="8"/>
      <c r="R219" s="8"/>
    </row>
    <row r="220" spans="3:18" x14ac:dyDescent="0.2">
      <c r="C220" s="8"/>
      <c r="D220" s="8"/>
      <c r="E220" s="8"/>
      <c r="F220" s="8"/>
      <c r="G220" s="8"/>
      <c r="H220" s="8"/>
      <c r="I220" s="8"/>
      <c r="J220" s="8"/>
      <c r="K220" s="8"/>
      <c r="L220" s="8"/>
      <c r="M220" s="8"/>
      <c r="N220" s="8"/>
      <c r="O220" s="8"/>
      <c r="P220" s="8"/>
      <c r="Q220" s="8"/>
      <c r="R220" s="8"/>
    </row>
    <row r="221" spans="3:18" x14ac:dyDescent="0.2">
      <c r="C221" s="8"/>
      <c r="D221" s="8"/>
      <c r="E221" s="8"/>
      <c r="F221" s="8"/>
      <c r="G221" s="8"/>
      <c r="H221" s="8"/>
      <c r="I221" s="8"/>
      <c r="J221" s="8"/>
      <c r="K221" s="8"/>
      <c r="L221" s="8"/>
      <c r="M221" s="8"/>
      <c r="N221" s="8"/>
      <c r="O221" s="8"/>
      <c r="P221" s="8"/>
      <c r="Q221" s="8"/>
      <c r="R221" s="8"/>
    </row>
    <row r="222" spans="3:18" x14ac:dyDescent="0.2">
      <c r="C222" s="8"/>
      <c r="D222" s="8"/>
      <c r="E222" s="8"/>
      <c r="F222" s="8"/>
      <c r="G222" s="8"/>
      <c r="H222" s="8"/>
      <c r="I222" s="8"/>
      <c r="J222" s="8"/>
      <c r="K222" s="8"/>
      <c r="L222" s="8"/>
      <c r="M222" s="8"/>
      <c r="N222" s="8"/>
      <c r="O222" s="8"/>
      <c r="P222" s="8"/>
      <c r="Q222" s="8"/>
      <c r="R222" s="8"/>
    </row>
    <row r="223" spans="3:18" x14ac:dyDescent="0.2">
      <c r="C223" s="8"/>
      <c r="D223" s="8"/>
      <c r="E223" s="8"/>
      <c r="F223" s="8"/>
      <c r="G223" s="8"/>
      <c r="H223" s="8"/>
      <c r="I223" s="8"/>
      <c r="J223" s="8"/>
      <c r="K223" s="8"/>
      <c r="L223" s="8"/>
      <c r="M223" s="8"/>
      <c r="N223" s="8"/>
      <c r="O223" s="8"/>
      <c r="P223" s="8"/>
      <c r="Q223" s="8"/>
      <c r="R223" s="8"/>
    </row>
    <row r="224" spans="3:18" x14ac:dyDescent="0.2">
      <c r="C224" s="8"/>
      <c r="D224" s="8"/>
      <c r="E224" s="8"/>
      <c r="F224" s="8"/>
      <c r="G224" s="8"/>
      <c r="H224" s="8"/>
      <c r="I224" s="8"/>
      <c r="J224" s="8"/>
      <c r="K224" s="8"/>
      <c r="L224" s="8"/>
      <c r="M224" s="8"/>
      <c r="N224" s="8"/>
      <c r="O224" s="8"/>
      <c r="P224" s="8"/>
      <c r="Q224" s="8"/>
      <c r="R224" s="8"/>
    </row>
    <row r="225" spans="3:18" x14ac:dyDescent="0.2">
      <c r="C225" s="8"/>
      <c r="D225" s="8"/>
      <c r="E225" s="8"/>
      <c r="F225" s="8"/>
      <c r="G225" s="8"/>
      <c r="H225" s="8"/>
      <c r="I225" s="8"/>
      <c r="J225" s="8"/>
      <c r="K225" s="8"/>
      <c r="L225" s="8"/>
      <c r="M225" s="8"/>
      <c r="N225" s="8"/>
      <c r="O225" s="8"/>
      <c r="P225" s="8"/>
      <c r="Q225" s="8"/>
      <c r="R225" s="8"/>
    </row>
    <row r="226" spans="3:18" x14ac:dyDescent="0.2">
      <c r="C226" s="8"/>
      <c r="D226" s="8"/>
      <c r="E226" s="8"/>
      <c r="F226" s="8"/>
      <c r="G226" s="8"/>
      <c r="H226" s="8"/>
      <c r="I226" s="8"/>
      <c r="J226" s="8"/>
      <c r="K226" s="8"/>
      <c r="L226" s="8"/>
      <c r="M226" s="8"/>
      <c r="N226" s="8"/>
      <c r="O226" s="8"/>
      <c r="P226" s="8"/>
      <c r="Q226" s="8"/>
      <c r="R226" s="8"/>
    </row>
    <row r="227" spans="3:18" x14ac:dyDescent="0.2">
      <c r="C227" s="8"/>
      <c r="D227" s="8"/>
      <c r="E227" s="8"/>
      <c r="F227" s="8"/>
      <c r="G227" s="8"/>
      <c r="H227" s="8"/>
      <c r="I227" s="8"/>
      <c r="J227" s="8"/>
      <c r="K227" s="8"/>
      <c r="L227" s="8"/>
      <c r="M227" s="8"/>
      <c r="N227" s="8"/>
      <c r="O227" s="8"/>
      <c r="P227" s="8"/>
      <c r="Q227" s="8"/>
      <c r="R227" s="8"/>
    </row>
    <row r="228" spans="3:18" x14ac:dyDescent="0.2">
      <c r="C228" s="8"/>
      <c r="D228" s="8"/>
      <c r="E228" s="8"/>
      <c r="F228" s="8"/>
      <c r="G228" s="8"/>
      <c r="H228" s="8"/>
      <c r="I228" s="8"/>
      <c r="J228" s="8"/>
      <c r="K228" s="8"/>
      <c r="L228" s="8"/>
      <c r="M228" s="8"/>
      <c r="N228" s="8"/>
      <c r="O228" s="8"/>
      <c r="P228" s="8"/>
      <c r="Q228" s="8"/>
      <c r="R228" s="8"/>
    </row>
    <row r="229" spans="3:18" x14ac:dyDescent="0.2">
      <c r="C229" s="8"/>
      <c r="D229" s="8"/>
      <c r="E229" s="8"/>
      <c r="F229" s="8"/>
      <c r="G229" s="8"/>
      <c r="H229" s="8"/>
      <c r="I229" s="8"/>
      <c r="J229" s="8"/>
      <c r="K229" s="8"/>
      <c r="L229" s="8"/>
      <c r="M229" s="8"/>
      <c r="N229" s="8"/>
      <c r="O229" s="8"/>
      <c r="P229" s="8"/>
      <c r="Q229" s="8"/>
      <c r="R229" s="8"/>
    </row>
    <row r="230" spans="3:18" x14ac:dyDescent="0.2">
      <c r="C230" s="8"/>
      <c r="D230" s="8"/>
      <c r="E230" s="8"/>
      <c r="F230" s="8"/>
      <c r="G230" s="8"/>
      <c r="H230" s="8"/>
      <c r="I230" s="8"/>
      <c r="J230" s="8"/>
      <c r="K230" s="8"/>
      <c r="L230" s="8"/>
      <c r="M230" s="8"/>
      <c r="N230" s="8"/>
      <c r="O230" s="8"/>
      <c r="P230" s="8"/>
      <c r="Q230" s="8"/>
      <c r="R230" s="8"/>
    </row>
    <row r="231" spans="3:18" x14ac:dyDescent="0.2">
      <c r="C231" s="8"/>
      <c r="D231" s="8"/>
      <c r="E231" s="8"/>
      <c r="F231" s="8"/>
      <c r="G231" s="8"/>
      <c r="H231" s="8"/>
      <c r="I231" s="8"/>
      <c r="J231" s="8"/>
      <c r="K231" s="8"/>
      <c r="L231" s="8"/>
      <c r="M231" s="8"/>
      <c r="N231" s="8"/>
      <c r="O231" s="8"/>
      <c r="P231" s="8"/>
      <c r="Q231" s="8"/>
      <c r="R231" s="8"/>
    </row>
    <row r="232" spans="3:18" x14ac:dyDescent="0.2">
      <c r="C232" s="8"/>
      <c r="D232" s="8"/>
      <c r="E232" s="8"/>
      <c r="F232" s="8"/>
      <c r="G232" s="8"/>
      <c r="H232" s="8"/>
      <c r="I232" s="8"/>
      <c r="J232" s="8"/>
      <c r="K232" s="8"/>
      <c r="L232" s="8"/>
      <c r="M232" s="8"/>
      <c r="N232" s="8"/>
      <c r="O232" s="8"/>
      <c r="P232" s="8"/>
      <c r="Q232" s="8"/>
      <c r="R232" s="8"/>
    </row>
    <row r="233" spans="3:18" x14ac:dyDescent="0.2">
      <c r="C233" s="8"/>
      <c r="D233" s="8"/>
      <c r="E233" s="8"/>
      <c r="F233" s="8"/>
      <c r="G233" s="8"/>
      <c r="H233" s="8"/>
      <c r="I233" s="8"/>
      <c r="J233" s="8"/>
      <c r="K233" s="8"/>
      <c r="L233" s="8"/>
      <c r="M233" s="8"/>
      <c r="N233" s="8"/>
      <c r="O233" s="8"/>
      <c r="P233" s="8"/>
      <c r="Q233" s="8"/>
      <c r="R233" s="8"/>
    </row>
    <row r="234" spans="3:18" x14ac:dyDescent="0.2">
      <c r="C234" s="8"/>
      <c r="D234" s="8"/>
      <c r="E234" s="8"/>
      <c r="F234" s="8"/>
      <c r="G234" s="8"/>
      <c r="H234" s="8"/>
      <c r="I234" s="8"/>
      <c r="J234" s="8"/>
      <c r="K234" s="8"/>
      <c r="L234" s="8"/>
      <c r="M234" s="8"/>
      <c r="N234" s="8"/>
      <c r="O234" s="8"/>
      <c r="P234" s="8"/>
      <c r="Q234" s="8"/>
      <c r="R234" s="8"/>
    </row>
    <row r="235" spans="3:18" x14ac:dyDescent="0.2">
      <c r="C235" s="8"/>
      <c r="D235" s="8"/>
      <c r="E235" s="8"/>
      <c r="F235" s="8"/>
      <c r="G235" s="8"/>
      <c r="H235" s="8"/>
      <c r="I235" s="8"/>
      <c r="J235" s="8"/>
      <c r="K235" s="8"/>
      <c r="L235" s="8"/>
      <c r="M235" s="8"/>
      <c r="N235" s="8"/>
      <c r="O235" s="8"/>
      <c r="P235" s="8"/>
      <c r="Q235" s="8"/>
      <c r="R235" s="8"/>
    </row>
    <row r="236" spans="3:18" x14ac:dyDescent="0.2">
      <c r="C236" s="8"/>
      <c r="D236" s="8"/>
      <c r="E236" s="8"/>
      <c r="F236" s="8"/>
      <c r="G236" s="8"/>
      <c r="H236" s="8"/>
      <c r="I236" s="8"/>
      <c r="J236" s="8"/>
      <c r="K236" s="8"/>
      <c r="L236" s="8"/>
      <c r="M236" s="8"/>
      <c r="N236" s="8"/>
      <c r="O236" s="8"/>
      <c r="P236" s="8"/>
      <c r="Q236" s="8"/>
      <c r="R236" s="8"/>
    </row>
    <row r="237" spans="3:18" x14ac:dyDescent="0.2">
      <c r="C237" s="8"/>
      <c r="D237" s="8"/>
      <c r="E237" s="8"/>
      <c r="F237" s="8"/>
      <c r="G237" s="8"/>
      <c r="H237" s="8"/>
      <c r="I237" s="8"/>
      <c r="J237" s="8"/>
      <c r="K237" s="8"/>
      <c r="L237" s="8"/>
      <c r="M237" s="8"/>
      <c r="N237" s="8"/>
      <c r="O237" s="8"/>
      <c r="P237" s="8"/>
      <c r="Q237" s="8"/>
      <c r="R237" s="8"/>
    </row>
    <row r="238" spans="3:18" x14ac:dyDescent="0.2">
      <c r="C238" s="8"/>
      <c r="D238" s="8"/>
      <c r="E238" s="8"/>
      <c r="F238" s="8"/>
      <c r="G238" s="8"/>
      <c r="H238" s="8"/>
      <c r="I238" s="8"/>
      <c r="J238" s="8"/>
      <c r="K238" s="8"/>
      <c r="L238" s="8"/>
      <c r="M238" s="8"/>
      <c r="N238" s="8"/>
      <c r="O238" s="8"/>
      <c r="P238" s="8"/>
      <c r="Q238" s="8"/>
      <c r="R238" s="8"/>
    </row>
    <row r="239" spans="3:18" x14ac:dyDescent="0.2">
      <c r="C239" s="8"/>
      <c r="D239" s="8"/>
      <c r="E239" s="8"/>
      <c r="F239" s="8"/>
      <c r="G239" s="8"/>
      <c r="H239" s="8"/>
      <c r="I239" s="8"/>
      <c r="J239" s="8"/>
      <c r="K239" s="8"/>
      <c r="L239" s="8"/>
      <c r="M239" s="8"/>
      <c r="N239" s="8"/>
      <c r="O239" s="8"/>
      <c r="P239" s="8"/>
      <c r="Q239" s="8"/>
      <c r="R239" s="8"/>
    </row>
    <row r="240" spans="3:18" x14ac:dyDescent="0.2">
      <c r="C240" s="8"/>
      <c r="D240" s="8"/>
      <c r="E240" s="8"/>
      <c r="F240" s="8"/>
      <c r="G240" s="8"/>
      <c r="H240" s="8"/>
      <c r="I240" s="8"/>
      <c r="J240" s="8"/>
      <c r="K240" s="8"/>
      <c r="L240" s="8"/>
      <c r="M240" s="8"/>
      <c r="N240" s="8"/>
      <c r="O240" s="8"/>
      <c r="P240" s="8"/>
      <c r="Q240" s="8"/>
      <c r="R240" s="8"/>
    </row>
    <row r="241" spans="3:18" x14ac:dyDescent="0.2">
      <c r="C241" s="8"/>
      <c r="D241" s="8"/>
      <c r="E241" s="8"/>
      <c r="F241" s="8"/>
      <c r="G241" s="8"/>
      <c r="H241" s="8"/>
      <c r="I241" s="8"/>
      <c r="J241" s="8"/>
      <c r="K241" s="8"/>
      <c r="L241" s="8"/>
      <c r="M241" s="8"/>
      <c r="N241" s="8"/>
      <c r="O241" s="8"/>
      <c r="P241" s="8"/>
      <c r="Q241" s="8"/>
      <c r="R241" s="8"/>
    </row>
    <row r="242" spans="3:18" x14ac:dyDescent="0.2">
      <c r="C242" s="8"/>
      <c r="D242" s="8"/>
      <c r="E242" s="8"/>
      <c r="F242" s="8"/>
      <c r="G242" s="8"/>
      <c r="H242" s="8"/>
      <c r="I242" s="8"/>
      <c r="J242" s="8"/>
      <c r="K242" s="8"/>
      <c r="L242" s="8"/>
      <c r="M242" s="8"/>
      <c r="N242" s="8"/>
      <c r="O242" s="8"/>
      <c r="P242" s="8"/>
      <c r="Q242" s="8"/>
      <c r="R242" s="8"/>
    </row>
    <row r="243" spans="3:18" x14ac:dyDescent="0.2">
      <c r="C243" s="8"/>
      <c r="D243" s="8"/>
      <c r="E243" s="8"/>
      <c r="F243" s="8"/>
      <c r="G243" s="8"/>
      <c r="H243" s="8"/>
      <c r="I243" s="8"/>
      <c r="J243" s="8"/>
      <c r="K243" s="8"/>
      <c r="L243" s="8"/>
      <c r="M243" s="8"/>
      <c r="N243" s="8"/>
      <c r="O243" s="8"/>
      <c r="P243" s="8"/>
      <c r="Q243" s="8"/>
      <c r="R243" s="8"/>
    </row>
    <row r="244" spans="3:18" x14ac:dyDescent="0.2">
      <c r="C244" s="8"/>
      <c r="D244" s="8"/>
      <c r="E244" s="8"/>
      <c r="F244" s="8"/>
      <c r="G244" s="8"/>
      <c r="H244" s="8"/>
      <c r="I244" s="8"/>
      <c r="J244" s="8"/>
      <c r="K244" s="8"/>
      <c r="L244" s="8"/>
      <c r="M244" s="8"/>
      <c r="N244" s="8"/>
      <c r="O244" s="8"/>
      <c r="P244" s="8"/>
      <c r="Q244" s="8"/>
      <c r="R244" s="8"/>
    </row>
    <row r="245" spans="3:18" x14ac:dyDescent="0.2">
      <c r="C245" s="8"/>
      <c r="D245" s="8"/>
      <c r="E245" s="8"/>
      <c r="F245" s="8"/>
      <c r="G245" s="8"/>
      <c r="H245" s="8"/>
      <c r="I245" s="8"/>
      <c r="J245" s="8"/>
      <c r="K245" s="8"/>
      <c r="L245" s="8"/>
      <c r="M245" s="8"/>
      <c r="N245" s="8"/>
      <c r="O245" s="8"/>
      <c r="P245" s="8"/>
      <c r="Q245" s="8"/>
      <c r="R245" s="8"/>
    </row>
    <row r="246" spans="3:18" x14ac:dyDescent="0.2">
      <c r="C246" s="8"/>
      <c r="D246" s="8"/>
      <c r="E246" s="8"/>
      <c r="F246" s="8"/>
      <c r="G246" s="8"/>
      <c r="H246" s="8"/>
      <c r="I246" s="8"/>
      <c r="J246" s="8"/>
      <c r="K246" s="8"/>
      <c r="L246" s="8"/>
      <c r="M246" s="8"/>
      <c r="N246" s="8"/>
      <c r="O246" s="8"/>
      <c r="P246" s="8"/>
      <c r="Q246" s="8"/>
      <c r="R246" s="8"/>
    </row>
    <row r="247" spans="3:18" x14ac:dyDescent="0.2">
      <c r="C247" s="8"/>
      <c r="D247" s="8"/>
      <c r="E247" s="8"/>
      <c r="F247" s="8"/>
      <c r="G247" s="8"/>
      <c r="H247" s="8"/>
      <c r="I247" s="8"/>
      <c r="J247" s="8"/>
      <c r="K247" s="8"/>
      <c r="L247" s="8"/>
      <c r="M247" s="8"/>
      <c r="N247" s="8"/>
      <c r="O247" s="8"/>
      <c r="P247" s="8"/>
      <c r="Q247" s="8"/>
      <c r="R247" s="8"/>
    </row>
    <row r="248" spans="3:18" x14ac:dyDescent="0.2">
      <c r="C248" s="8"/>
      <c r="D248" s="8"/>
      <c r="E248" s="8"/>
      <c r="F248" s="8"/>
      <c r="G248" s="8"/>
      <c r="H248" s="8"/>
      <c r="I248" s="8"/>
      <c r="J248" s="8"/>
      <c r="K248" s="8"/>
      <c r="L248" s="8"/>
      <c r="M248" s="8"/>
      <c r="N248" s="8"/>
      <c r="O248" s="8"/>
      <c r="P248" s="8"/>
      <c r="Q248" s="8"/>
      <c r="R248" s="8"/>
    </row>
    <row r="249" spans="3:18" x14ac:dyDescent="0.2">
      <c r="C249" s="8"/>
      <c r="D249" s="8"/>
      <c r="E249" s="8"/>
      <c r="F249" s="8"/>
      <c r="G249" s="8"/>
      <c r="H249" s="8"/>
      <c r="I249" s="8"/>
      <c r="J249" s="8"/>
      <c r="K249" s="8"/>
      <c r="L249" s="8"/>
      <c r="M249" s="8"/>
      <c r="N249" s="8"/>
      <c r="O249" s="8"/>
      <c r="P249" s="8"/>
      <c r="Q249" s="8"/>
      <c r="R249" s="8"/>
    </row>
    <row r="250" spans="3:18" x14ac:dyDescent="0.2">
      <c r="C250" s="8"/>
      <c r="D250" s="8"/>
      <c r="E250" s="8"/>
      <c r="F250" s="8"/>
      <c r="G250" s="8"/>
      <c r="H250" s="8"/>
      <c r="I250" s="8"/>
      <c r="J250" s="8"/>
      <c r="K250" s="8"/>
      <c r="L250" s="8"/>
      <c r="M250" s="8"/>
      <c r="N250" s="8"/>
      <c r="O250" s="8"/>
      <c r="P250" s="8"/>
      <c r="Q250" s="8"/>
      <c r="R250" s="8"/>
    </row>
    <row r="251" spans="3:18" x14ac:dyDescent="0.2">
      <c r="C251" s="8"/>
      <c r="D251" s="8"/>
      <c r="E251" s="8"/>
      <c r="F251" s="8"/>
      <c r="G251" s="8"/>
      <c r="H251" s="8"/>
      <c r="I251" s="8"/>
      <c r="J251" s="8"/>
      <c r="K251" s="8"/>
      <c r="L251" s="8"/>
      <c r="M251" s="8"/>
      <c r="N251" s="8"/>
      <c r="O251" s="8"/>
      <c r="P251" s="8"/>
      <c r="Q251" s="8"/>
      <c r="R251" s="8"/>
    </row>
    <row r="252" spans="3:18" x14ac:dyDescent="0.2">
      <c r="C252" s="8"/>
      <c r="D252" s="8"/>
      <c r="E252" s="8"/>
      <c r="F252" s="8"/>
      <c r="G252" s="8"/>
      <c r="H252" s="8"/>
      <c r="I252" s="8"/>
      <c r="J252" s="8"/>
      <c r="K252" s="8"/>
      <c r="L252" s="8"/>
      <c r="M252" s="8"/>
      <c r="N252" s="8"/>
      <c r="O252" s="8"/>
      <c r="P252" s="8"/>
      <c r="Q252" s="8"/>
      <c r="R252" s="8"/>
    </row>
    <row r="253" spans="3:18" x14ac:dyDescent="0.2">
      <c r="C253" s="8"/>
      <c r="D253" s="8"/>
      <c r="E253" s="8"/>
      <c r="F253" s="8"/>
      <c r="G253" s="8"/>
      <c r="H253" s="8"/>
      <c r="I253" s="8"/>
      <c r="J253" s="8"/>
      <c r="K253" s="8"/>
      <c r="L253" s="8"/>
      <c r="M253" s="8"/>
      <c r="N253" s="8"/>
      <c r="O253" s="8"/>
      <c r="P253" s="8"/>
      <c r="Q253" s="8"/>
      <c r="R253" s="8"/>
    </row>
    <row r="254" spans="3:18" x14ac:dyDescent="0.2">
      <c r="C254" s="8"/>
      <c r="D254" s="8"/>
      <c r="E254" s="8"/>
      <c r="F254" s="8"/>
      <c r="G254" s="8"/>
      <c r="H254" s="8"/>
      <c r="I254" s="8"/>
      <c r="J254" s="8"/>
      <c r="K254" s="8"/>
      <c r="L254" s="8"/>
      <c r="M254" s="8"/>
      <c r="N254" s="8"/>
      <c r="O254" s="8"/>
      <c r="P254" s="8"/>
      <c r="Q254" s="8"/>
      <c r="R254" s="8"/>
    </row>
    <row r="255" spans="3:18" x14ac:dyDescent="0.2">
      <c r="C255" s="8"/>
      <c r="D255" s="8"/>
      <c r="E255" s="8"/>
      <c r="F255" s="8"/>
      <c r="G255" s="8"/>
      <c r="H255" s="8"/>
      <c r="I255" s="8"/>
      <c r="J255" s="8"/>
      <c r="K255" s="8"/>
      <c r="L255" s="8"/>
      <c r="M255" s="8"/>
      <c r="N255" s="8"/>
      <c r="O255" s="8"/>
      <c r="P255" s="8"/>
      <c r="Q255" s="8"/>
      <c r="R255" s="8"/>
    </row>
    <row r="256" spans="3:18" x14ac:dyDescent="0.2">
      <c r="C256" s="8"/>
      <c r="D256" s="8"/>
      <c r="E256" s="8"/>
      <c r="F256" s="8"/>
      <c r="G256" s="8"/>
      <c r="H256" s="8"/>
      <c r="I256" s="8"/>
      <c r="J256" s="8"/>
      <c r="K256" s="8"/>
      <c r="L256" s="8"/>
      <c r="M256" s="8"/>
      <c r="N256" s="8"/>
      <c r="O256" s="8"/>
      <c r="P256" s="8"/>
      <c r="Q256" s="8"/>
      <c r="R256" s="8"/>
    </row>
    <row r="257" spans="3:18" x14ac:dyDescent="0.2">
      <c r="C257" s="8"/>
      <c r="D257" s="8"/>
      <c r="E257" s="8"/>
      <c r="F257" s="8"/>
      <c r="G257" s="8"/>
      <c r="H257" s="8"/>
      <c r="I257" s="8"/>
      <c r="J257" s="8"/>
      <c r="K257" s="8"/>
      <c r="L257" s="8"/>
      <c r="M257" s="8"/>
      <c r="N257" s="8"/>
      <c r="O257" s="8"/>
      <c r="P257" s="8"/>
      <c r="Q257" s="8"/>
      <c r="R257" s="8"/>
    </row>
    <row r="258" spans="3:18" x14ac:dyDescent="0.2">
      <c r="C258" s="8"/>
      <c r="D258" s="8"/>
      <c r="E258" s="8"/>
      <c r="F258" s="8"/>
      <c r="G258" s="8"/>
      <c r="H258" s="8"/>
      <c r="I258" s="8"/>
      <c r="J258" s="8"/>
      <c r="K258" s="8"/>
      <c r="L258" s="8"/>
      <c r="M258" s="8"/>
      <c r="N258" s="8"/>
      <c r="O258" s="8"/>
      <c r="P258" s="8"/>
      <c r="Q258" s="8"/>
      <c r="R258" s="8"/>
    </row>
    <row r="259" spans="3:18" x14ac:dyDescent="0.2">
      <c r="C259" s="8"/>
      <c r="D259" s="8"/>
      <c r="E259" s="8"/>
      <c r="F259" s="8"/>
      <c r="G259" s="8"/>
      <c r="H259" s="8"/>
      <c r="I259" s="8"/>
      <c r="J259" s="8"/>
      <c r="K259" s="8"/>
      <c r="L259" s="8"/>
      <c r="M259" s="8"/>
      <c r="N259" s="8"/>
      <c r="O259" s="8"/>
      <c r="P259" s="8"/>
      <c r="Q259" s="8"/>
      <c r="R259" s="8"/>
    </row>
    <row r="260" spans="3:18" x14ac:dyDescent="0.2">
      <c r="C260" s="8"/>
      <c r="D260" s="8"/>
      <c r="E260" s="8"/>
      <c r="F260" s="8"/>
      <c r="G260" s="8"/>
      <c r="H260" s="8"/>
      <c r="I260" s="8"/>
      <c r="J260" s="8"/>
      <c r="K260" s="8"/>
      <c r="L260" s="8"/>
      <c r="M260" s="8"/>
      <c r="N260" s="8"/>
      <c r="O260" s="8"/>
      <c r="P260" s="8"/>
      <c r="Q260" s="8"/>
      <c r="R260" s="8"/>
    </row>
    <row r="261" spans="3:18" x14ac:dyDescent="0.2">
      <c r="C261" s="8"/>
      <c r="D261" s="8"/>
      <c r="E261" s="8"/>
      <c r="F261" s="8"/>
      <c r="G261" s="8"/>
      <c r="H261" s="8"/>
      <c r="I261" s="8"/>
      <c r="J261" s="8"/>
      <c r="K261" s="8"/>
      <c r="L261" s="8"/>
      <c r="M261" s="8"/>
      <c r="N261" s="8"/>
      <c r="O261" s="8"/>
      <c r="P261" s="8"/>
      <c r="Q261" s="8"/>
      <c r="R261" s="8"/>
    </row>
    <row r="262" spans="3:18" x14ac:dyDescent="0.2">
      <c r="C262" s="8"/>
      <c r="D262" s="8"/>
      <c r="E262" s="8"/>
      <c r="F262" s="8"/>
      <c r="G262" s="8"/>
      <c r="H262" s="8"/>
      <c r="I262" s="8"/>
      <c r="J262" s="8"/>
      <c r="K262" s="8"/>
      <c r="L262" s="8"/>
      <c r="M262" s="8"/>
      <c r="N262" s="8"/>
      <c r="O262" s="8"/>
      <c r="P262" s="8"/>
      <c r="Q262" s="8"/>
      <c r="R262" s="8"/>
    </row>
    <row r="263" spans="3:18" x14ac:dyDescent="0.2">
      <c r="C263" s="8"/>
      <c r="D263" s="8"/>
      <c r="E263" s="8"/>
      <c r="F263" s="8"/>
      <c r="G263" s="8"/>
      <c r="H263" s="8"/>
      <c r="I263" s="8"/>
      <c r="J263" s="8"/>
      <c r="K263" s="8"/>
      <c r="L263" s="8"/>
      <c r="M263" s="8"/>
      <c r="N263" s="8"/>
      <c r="O263" s="8"/>
      <c r="P263" s="8"/>
      <c r="Q263" s="8"/>
      <c r="R263" s="8"/>
    </row>
    <row r="264" spans="3:18" x14ac:dyDescent="0.2">
      <c r="C264" s="8"/>
      <c r="D264" s="8"/>
      <c r="E264" s="8"/>
      <c r="F264" s="8"/>
      <c r="G264" s="8"/>
      <c r="H264" s="8"/>
      <c r="I264" s="8"/>
      <c r="J264" s="8"/>
      <c r="K264" s="8"/>
      <c r="L264" s="8"/>
      <c r="M264" s="8"/>
      <c r="N264" s="8"/>
      <c r="O264" s="8"/>
      <c r="P264" s="8"/>
      <c r="Q264" s="8"/>
      <c r="R264" s="8"/>
    </row>
    <row r="265" spans="3:18" x14ac:dyDescent="0.2">
      <c r="C265" s="8"/>
      <c r="D265" s="8"/>
      <c r="E265" s="8"/>
      <c r="F265" s="8"/>
      <c r="G265" s="8"/>
      <c r="H265" s="8"/>
      <c r="I265" s="8"/>
      <c r="J265" s="8"/>
      <c r="K265" s="8"/>
      <c r="L265" s="8"/>
      <c r="M265" s="8"/>
      <c r="N265" s="8"/>
      <c r="O265" s="8"/>
      <c r="P265" s="8"/>
      <c r="Q265" s="8"/>
      <c r="R265" s="8"/>
    </row>
    <row r="266" spans="3:18" x14ac:dyDescent="0.2">
      <c r="C266" s="8"/>
      <c r="D266" s="8"/>
      <c r="E266" s="8"/>
      <c r="F266" s="8"/>
      <c r="G266" s="8"/>
      <c r="H266" s="8"/>
      <c r="I266" s="8"/>
      <c r="J266" s="8"/>
      <c r="K266" s="8"/>
      <c r="L266" s="8"/>
      <c r="M266" s="8"/>
      <c r="N266" s="8"/>
      <c r="O266" s="8"/>
      <c r="P266" s="8"/>
      <c r="Q266" s="8"/>
      <c r="R266" s="8"/>
    </row>
    <row r="267" spans="3:18" x14ac:dyDescent="0.2">
      <c r="C267" s="8"/>
      <c r="D267" s="8"/>
      <c r="E267" s="8"/>
      <c r="F267" s="8"/>
      <c r="G267" s="8"/>
      <c r="H267" s="8"/>
      <c r="I267" s="8"/>
      <c r="J267" s="8"/>
      <c r="K267" s="8"/>
      <c r="L267" s="8"/>
      <c r="M267" s="8"/>
      <c r="N267" s="8"/>
      <c r="O267" s="8"/>
      <c r="P267" s="8"/>
      <c r="Q267" s="8"/>
      <c r="R267" s="8"/>
    </row>
    <row r="268" spans="3:18" x14ac:dyDescent="0.2">
      <c r="C268" s="8"/>
      <c r="D268" s="8"/>
      <c r="E268" s="8"/>
      <c r="F268" s="8"/>
      <c r="G268" s="8"/>
      <c r="H268" s="8"/>
      <c r="I268" s="8"/>
      <c r="J268" s="8"/>
      <c r="K268" s="8"/>
      <c r="L268" s="8"/>
      <c r="M268" s="8"/>
      <c r="N268" s="8"/>
      <c r="O268" s="8"/>
      <c r="P268" s="8"/>
      <c r="Q268" s="8"/>
      <c r="R268" s="8"/>
    </row>
    <row r="269" spans="3:18" x14ac:dyDescent="0.2">
      <c r="C269" s="8"/>
      <c r="D269" s="8"/>
      <c r="E269" s="8"/>
      <c r="F269" s="8"/>
      <c r="G269" s="8"/>
      <c r="H269" s="8"/>
      <c r="I269" s="8"/>
      <c r="J269" s="8"/>
      <c r="K269" s="8"/>
      <c r="L269" s="8"/>
      <c r="M269" s="8"/>
      <c r="N269" s="8"/>
      <c r="O269" s="8"/>
      <c r="P269" s="8"/>
      <c r="Q269" s="8"/>
      <c r="R269" s="8"/>
    </row>
    <row r="270" spans="3:18" x14ac:dyDescent="0.2">
      <c r="C270" s="8"/>
      <c r="D270" s="8"/>
      <c r="E270" s="8"/>
      <c r="F270" s="8"/>
      <c r="G270" s="8"/>
      <c r="H270" s="8"/>
      <c r="I270" s="8"/>
      <c r="J270" s="8"/>
      <c r="K270" s="8"/>
      <c r="L270" s="8"/>
      <c r="M270" s="8"/>
      <c r="N270" s="8"/>
      <c r="O270" s="8"/>
      <c r="P270" s="8"/>
      <c r="Q270" s="8"/>
      <c r="R270" s="8"/>
    </row>
    <row r="271" spans="3:18" x14ac:dyDescent="0.2">
      <c r="C271" s="8"/>
      <c r="D271" s="8"/>
      <c r="E271" s="8"/>
      <c r="F271" s="8"/>
      <c r="G271" s="8"/>
      <c r="H271" s="8"/>
      <c r="I271" s="8"/>
      <c r="J271" s="8"/>
      <c r="K271" s="8"/>
      <c r="L271" s="8"/>
      <c r="M271" s="8"/>
      <c r="N271" s="8"/>
      <c r="O271" s="8"/>
      <c r="P271" s="8"/>
      <c r="Q271" s="8"/>
      <c r="R271" s="8"/>
    </row>
    <row r="272" spans="3:18" x14ac:dyDescent="0.2">
      <c r="C272" s="8"/>
      <c r="D272" s="8"/>
      <c r="E272" s="8"/>
      <c r="F272" s="8"/>
      <c r="G272" s="8"/>
      <c r="H272" s="8"/>
      <c r="I272" s="8"/>
      <c r="J272" s="8"/>
      <c r="K272" s="8"/>
      <c r="L272" s="8"/>
      <c r="M272" s="8"/>
      <c r="N272" s="8"/>
      <c r="O272" s="8"/>
      <c r="P272" s="8"/>
      <c r="Q272" s="8"/>
      <c r="R272" s="8"/>
    </row>
    <row r="273" spans="3:18" x14ac:dyDescent="0.2">
      <c r="C273" s="8"/>
      <c r="D273" s="8"/>
      <c r="E273" s="8"/>
      <c r="F273" s="8"/>
      <c r="G273" s="8"/>
      <c r="H273" s="8"/>
      <c r="I273" s="8"/>
      <c r="J273" s="8"/>
      <c r="K273" s="8"/>
      <c r="L273" s="8"/>
      <c r="M273" s="8"/>
      <c r="N273" s="8"/>
      <c r="O273" s="8"/>
      <c r="P273" s="8"/>
      <c r="Q273" s="8"/>
      <c r="R273" s="8"/>
    </row>
    <row r="274" spans="3:18" x14ac:dyDescent="0.2">
      <c r="C274" s="8"/>
      <c r="D274" s="8"/>
      <c r="E274" s="8"/>
      <c r="F274" s="8"/>
      <c r="G274" s="8"/>
      <c r="H274" s="8"/>
      <c r="I274" s="8"/>
      <c r="J274" s="8"/>
      <c r="K274" s="8"/>
      <c r="L274" s="8"/>
      <c r="M274" s="8"/>
      <c r="N274" s="8"/>
      <c r="O274" s="8"/>
      <c r="P274" s="8"/>
      <c r="Q274" s="8"/>
      <c r="R274" s="8"/>
    </row>
    <row r="275" spans="3:18" x14ac:dyDescent="0.2">
      <c r="C275" s="8"/>
      <c r="D275" s="8"/>
      <c r="E275" s="8"/>
      <c r="F275" s="8"/>
      <c r="G275" s="8"/>
      <c r="H275" s="8"/>
      <c r="I275" s="8"/>
      <c r="J275" s="8"/>
      <c r="K275" s="8"/>
      <c r="L275" s="8"/>
      <c r="M275" s="8"/>
      <c r="N275" s="8"/>
      <c r="O275" s="8"/>
      <c r="P275" s="8"/>
      <c r="Q275" s="8"/>
      <c r="R275" s="8"/>
    </row>
    <row r="276" spans="3:18" x14ac:dyDescent="0.2">
      <c r="C276" s="8"/>
      <c r="D276" s="8"/>
      <c r="E276" s="8"/>
      <c r="F276" s="8"/>
      <c r="G276" s="8"/>
      <c r="H276" s="8"/>
      <c r="I276" s="8"/>
      <c r="J276" s="8"/>
      <c r="K276" s="8"/>
      <c r="L276" s="8"/>
      <c r="M276" s="8"/>
      <c r="N276" s="8"/>
      <c r="O276" s="8"/>
      <c r="P276" s="8"/>
      <c r="Q276" s="8"/>
      <c r="R276" s="8"/>
    </row>
    <row r="277" spans="3:18" x14ac:dyDescent="0.2">
      <c r="C277" s="8"/>
      <c r="D277" s="8"/>
      <c r="E277" s="8"/>
      <c r="F277" s="8"/>
      <c r="G277" s="8"/>
      <c r="H277" s="8"/>
      <c r="I277" s="8"/>
      <c r="J277" s="8"/>
      <c r="K277" s="8"/>
      <c r="L277" s="8"/>
      <c r="M277" s="8"/>
      <c r="N277" s="8"/>
      <c r="O277" s="8"/>
      <c r="P277" s="8"/>
      <c r="Q277" s="8"/>
      <c r="R277" s="8"/>
    </row>
    <row r="278" spans="3:18" x14ac:dyDescent="0.2">
      <c r="C278" s="8"/>
      <c r="D278" s="8"/>
      <c r="E278" s="8"/>
      <c r="F278" s="8"/>
      <c r="G278" s="8"/>
      <c r="H278" s="8"/>
      <c r="I278" s="8"/>
      <c r="J278" s="8"/>
      <c r="K278" s="8"/>
      <c r="L278" s="8"/>
      <c r="M278" s="8"/>
      <c r="N278" s="8"/>
      <c r="O278" s="8"/>
      <c r="P278" s="8"/>
      <c r="Q278" s="8"/>
      <c r="R278" s="8"/>
    </row>
    <row r="279" spans="3:18" x14ac:dyDescent="0.2">
      <c r="C279" s="8"/>
      <c r="D279" s="8"/>
      <c r="E279" s="8"/>
      <c r="F279" s="8"/>
      <c r="G279" s="8"/>
      <c r="H279" s="8"/>
      <c r="I279" s="8"/>
      <c r="J279" s="8"/>
      <c r="K279" s="8"/>
      <c r="L279" s="8"/>
      <c r="M279" s="8"/>
      <c r="N279" s="8"/>
      <c r="O279" s="8"/>
      <c r="P279" s="8"/>
      <c r="Q279" s="8"/>
      <c r="R279" s="8"/>
    </row>
    <row r="280" spans="3:18" x14ac:dyDescent="0.2">
      <c r="C280" s="8"/>
      <c r="D280" s="8"/>
      <c r="E280" s="8"/>
      <c r="F280" s="8"/>
      <c r="G280" s="8"/>
      <c r="H280" s="8"/>
      <c r="I280" s="8"/>
      <c r="J280" s="8"/>
      <c r="K280" s="8"/>
      <c r="L280" s="8"/>
      <c r="M280" s="8"/>
      <c r="N280" s="8"/>
      <c r="O280" s="8"/>
      <c r="P280" s="8"/>
      <c r="Q280" s="8"/>
      <c r="R280" s="8"/>
    </row>
    <row r="281" spans="3:18" x14ac:dyDescent="0.2">
      <c r="C281" s="8"/>
      <c r="D281" s="8"/>
      <c r="E281" s="8"/>
      <c r="F281" s="8"/>
      <c r="G281" s="8"/>
      <c r="H281" s="8"/>
      <c r="I281" s="8"/>
      <c r="J281" s="8"/>
      <c r="K281" s="8"/>
      <c r="L281" s="8"/>
      <c r="M281" s="8"/>
      <c r="N281" s="8"/>
      <c r="O281" s="8"/>
      <c r="P281" s="8"/>
      <c r="Q281" s="8"/>
      <c r="R281" s="8"/>
    </row>
    <row r="282" spans="3:18" x14ac:dyDescent="0.2">
      <c r="C282" s="8"/>
      <c r="D282" s="8"/>
      <c r="E282" s="8"/>
      <c r="F282" s="8"/>
      <c r="G282" s="8"/>
      <c r="H282" s="8"/>
      <c r="I282" s="8"/>
      <c r="J282" s="8"/>
      <c r="K282" s="8"/>
      <c r="L282" s="8"/>
      <c r="M282" s="8"/>
      <c r="N282" s="8"/>
      <c r="O282" s="8"/>
      <c r="P282" s="8"/>
      <c r="Q282" s="8"/>
      <c r="R282" s="8"/>
    </row>
    <row r="283" spans="3:18" x14ac:dyDescent="0.2">
      <c r="C283" s="8"/>
      <c r="D283" s="8"/>
      <c r="E283" s="8"/>
      <c r="F283" s="8"/>
      <c r="G283" s="8"/>
      <c r="H283" s="8"/>
      <c r="I283" s="8"/>
      <c r="J283" s="8"/>
      <c r="K283" s="8"/>
      <c r="L283" s="8"/>
      <c r="M283" s="8"/>
      <c r="N283" s="8"/>
      <c r="O283" s="8"/>
      <c r="P283" s="8"/>
      <c r="Q283" s="8"/>
      <c r="R283" s="8"/>
    </row>
    <row r="284" spans="3:18" x14ac:dyDescent="0.2">
      <c r="C284" s="8"/>
      <c r="D284" s="8"/>
      <c r="E284" s="8"/>
      <c r="F284" s="8"/>
      <c r="G284" s="8"/>
      <c r="H284" s="8"/>
      <c r="I284" s="8"/>
      <c r="J284" s="8"/>
      <c r="K284" s="8"/>
      <c r="L284" s="8"/>
      <c r="M284" s="8"/>
      <c r="N284" s="8"/>
      <c r="O284" s="8"/>
      <c r="P284" s="8"/>
      <c r="Q284" s="8"/>
      <c r="R284" s="8"/>
    </row>
    <row r="285" spans="3:18" x14ac:dyDescent="0.2">
      <c r="C285" s="8"/>
      <c r="D285" s="8"/>
      <c r="E285" s="8"/>
      <c r="F285" s="8"/>
      <c r="G285" s="8"/>
      <c r="H285" s="8"/>
      <c r="I285" s="8"/>
      <c r="J285" s="8"/>
      <c r="K285" s="8"/>
      <c r="L285" s="8"/>
      <c r="M285" s="8"/>
      <c r="N285" s="8"/>
      <c r="O285" s="8"/>
      <c r="P285" s="8"/>
      <c r="Q285" s="8"/>
      <c r="R285" s="8"/>
    </row>
    <row r="286" spans="3:18" x14ac:dyDescent="0.2">
      <c r="C286" s="8"/>
      <c r="D286" s="8"/>
      <c r="E286" s="8"/>
      <c r="F286" s="8"/>
      <c r="G286" s="8"/>
      <c r="H286" s="8"/>
      <c r="I286" s="8"/>
      <c r="J286" s="8"/>
      <c r="K286" s="8"/>
      <c r="L286" s="8"/>
      <c r="M286" s="8"/>
      <c r="N286" s="8"/>
      <c r="O286" s="8"/>
      <c r="P286" s="8"/>
      <c r="Q286" s="8"/>
      <c r="R286" s="8"/>
    </row>
    <row r="287" spans="3:18" x14ac:dyDescent="0.2">
      <c r="C287" s="8"/>
      <c r="D287" s="8"/>
      <c r="E287" s="8"/>
      <c r="F287" s="8"/>
      <c r="G287" s="8"/>
      <c r="H287" s="8"/>
      <c r="I287" s="8"/>
      <c r="J287" s="8"/>
      <c r="K287" s="8"/>
      <c r="L287" s="8"/>
      <c r="M287" s="8"/>
      <c r="N287" s="8"/>
      <c r="O287" s="8"/>
      <c r="P287" s="8"/>
      <c r="Q287" s="8"/>
      <c r="R287" s="8"/>
    </row>
  </sheetData>
  <sheetProtection algorithmName="SHA-512" hashValue="yKfKcGEcFQeErYB4PMNLc/xaRTrk2c+EfWmt8zNfkYiTubZ5hKcsAhptsvDWvHAXAcLeNlfGbXH2joIqV83pPg==" saltValue="Uc/y8Tha/o6pW/muBXZyew==" spinCount="100000" sheet="1" objects="1" scenarios="1" formatColumns="0" formatRows="0" sort="0" autoFilter="0"/>
  <autoFilter ref="A17:AG25">
    <filterColumn colId="0" showButton="0"/>
    <filterColumn colId="1" showButton="0"/>
    <filterColumn colId="2" showButton="0"/>
    <filterColumn colId="3" showButton="0"/>
    <filterColumn colId="4" showButton="0"/>
    <filterColumn colId="5" showButton="0"/>
    <filterColumn colId="6" showButton="0"/>
    <filterColumn colId="7" showButton="0"/>
    <filterColumn colId="8" showButton="0"/>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autoFilter>
  <customSheetViews>
    <customSheetView guid="{E26F941C-F347-432D-B4B3-73B25F002075}" scale="55" showPageBreaks="1" showGridLines="0" fitToPage="1" printArea="1" hiddenRows="1" topLeftCell="A13">
      <selection activeCell="B51" sqref="B51:H51"/>
      <pageMargins left="0.41" right="0.43" top="0.43" bottom="0.46" header="0.4" footer="0.28000000000000003"/>
      <printOptions horizontalCentered="1"/>
      <pageSetup paperSize="9" scale="31" orientation="landscape" cellComments="asDisplayed" r:id="rId1"/>
      <headerFooter alignWithMargins="0">
        <oddFooter>&amp;L&amp;9SD 3.1A - Form, Ongoing DR/PU and LFA Review and Recommendation_v2.1 February 2006&amp;R&amp;9Page &amp;P of &amp;N</oddFooter>
      </headerFooter>
    </customSheetView>
  </customSheetViews>
  <mergeCells count="25">
    <mergeCell ref="C1:L1"/>
    <mergeCell ref="C6:R6"/>
    <mergeCell ref="L7:L8"/>
    <mergeCell ref="F7:G7"/>
    <mergeCell ref="C2:L2"/>
    <mergeCell ref="C7:C8"/>
    <mergeCell ref="E7:E8"/>
    <mergeCell ref="R7:R8"/>
    <mergeCell ref="K7:K8"/>
    <mergeCell ref="C3:D3"/>
    <mergeCell ref="D7:D8"/>
    <mergeCell ref="P7:P8"/>
    <mergeCell ref="H7:J7"/>
    <mergeCell ref="M7:O7"/>
    <mergeCell ref="A17:Y17"/>
    <mergeCell ref="Z6:AE6"/>
    <mergeCell ref="Z7:Z8"/>
    <mergeCell ref="AA7:AE8"/>
    <mergeCell ref="S6:Y6"/>
    <mergeCell ref="S7:S8"/>
    <mergeCell ref="X7:X8"/>
    <mergeCell ref="Y7:Y8"/>
    <mergeCell ref="W7:W8"/>
    <mergeCell ref="Q7:Q8"/>
    <mergeCell ref="T7:V7"/>
  </mergeCells>
  <phoneticPr fontId="0" type="noConversion"/>
  <conditionalFormatting sqref="S9:S16">
    <cfRule type="cellIs" dxfId="139" priority="2" operator="notEqual">
      <formula>#REF!</formula>
    </cfRule>
  </conditionalFormatting>
  <conditionalFormatting sqref="S18:S25">
    <cfRule type="cellIs" dxfId="138" priority="1" operator="notEqual">
      <formula>#REF!</formula>
    </cfRule>
  </conditionalFormatting>
  <dataValidations count="28">
    <dataValidation type="list" allowBlank="1" showInputMessage="1" showErrorMessage="1" sqref="A17">
      <formula1>"Select, Impact, Outcome"</formula1>
    </dataValidation>
    <dataValidation type="list" allowBlank="1" showInputMessage="1" showErrorMessage="1" errorTitle="X-Author for Excel" error="Please select a value from the drop-down." promptTitle="X-Author for Excel" sqref="G9:G16">
      <formula1>IF(IFERROR(ROWS(INDIRECT(SUBSTITUTE("AIM_Impact_Indicator__c.AIM_Baseline_Year__c"," ","_"))),-1) &lt; 0, XAuthorInvalidPicklistData,INDIRECT(SUBSTITUTE("AIM_Impact_Indicator__c.AIM_Baseline_Year__c"," ","_")))</formula1>
    </dataValidation>
    <dataValidation type="decimal" allowBlank="1" showInputMessage="1" showErrorMessage="1" errorTitle="X-Author for Excel" error="Please enter a valid numeric value. Valid range for Target N# is -9999999999.99 to 9999999999.99." promptTitle="X-Author for Excel" sqref="H9:H16 H18:H25">
      <formula1>-9999999999.99</formula1>
      <formula2>9999999999.99</formula2>
    </dataValidation>
    <dataValidation type="decimal" allowBlank="1" showInputMessage="1" showErrorMessage="1" errorTitle="X-Author for Excel" error="Please enter a valid numeric value. Valid range for Target D# is -9999999999.99 to 9999999999.99." promptTitle="X-Author for Excel" sqref="I9:I16 I18:I25">
      <formula1>-9999999999.99</formula1>
      <formula2>9999999999.99</formula2>
    </dataValidation>
    <dataValidation type="decimal" allowBlank="1" showInputMessage="1" showErrorMessage="1" errorTitle="X-Author for Excel" error="Please enter a valid numeric value. Valid range for Target % is -999.9 to 999.9." promptTitle="X-Author for Excel" sqref="J9:J16 J18:J25">
      <formula1>-999.9</formula1>
      <formula2>999.9</formula2>
    </dataValidation>
    <dataValidation type="list" allowBlank="1" showInputMessage="1" showErrorMessage="1" errorTitle="X-Author for Excel" error="Please select a value from the drop-down." promptTitle="X-Author for Excel" sqref="K9:K16">
      <formula1>IF(IFERROR(ROWS(INDIRECT(SUBSTITUTE("AIM_Impact_Indicator_Targets_Results__c.AIM_Year_of_Target__c"," ","_"))),-1) &lt; 0, XAuthorInvalidPicklistData,INDIRECT(SUBSTITUTE("AIM_Impact_Indicator_Targets_Results__c.AIM_Year_of_Target__c"," ","_")))</formula1>
    </dataValidation>
    <dataValidation type="date" allowBlank="1" showInputMessage="1" showErrorMessage="1" errorTitle="X-Author for Excel" error="Please enter a valid date." promptTitle="X-Author for Excel" sqref="L9:L16 L18:L25">
      <formula1>1</formula1>
      <formula2>767376</formula2>
    </dataValidation>
    <dataValidation type="decimal" allowBlank="1" showInputMessage="1" showErrorMessage="1" errorTitle="X-Author for Excel" error="Please enter a valid numeric value. Valid range for Result N#  (PR) is -9999999999.99 to 9999999999.99." promptTitle="X-Author for Excel" sqref="M9:M16">
      <formula1>-9999999999.99</formula1>
      <formula2>9999999999.99</formula2>
    </dataValidation>
    <dataValidation type="decimal" allowBlank="1" showInputMessage="1" showErrorMessage="1" errorTitle="X-Author for Excel" error="Please enter a valid numeric value. Valid range for Result D# (PR) is -9999999999.99 to 9999999999.99." promptTitle="X-Author for Excel" sqref="N9:N16">
      <formula1>-9999999999.99</formula1>
      <formula2>9999999999.99</formula2>
    </dataValidation>
    <dataValidation type="decimal" allowBlank="1" showInputMessage="1" showErrorMessage="1" errorTitle="X-Author for Excel" error="Please enter a valid numeric value. Valid range for Result % (PR) is -999.99 to 999.99." promptTitle="X-Author for Excel" sqref="O9:O16 O18:O25">
      <formula1>-999.99</formula1>
      <formula2>999.99</formula2>
    </dataValidation>
    <dataValidation type="list" allowBlank="1" showInputMessage="1" showErrorMessage="1" errorTitle="X-Author for Excel" error="Please select a value from the drop-down." promptTitle="X-Author for Excel" sqref="P9:P16">
      <formula1>IF(IFERROR(ROWS(INDIRECT(SUBSTITUTE("AIM_Impact_Indicator_Targets_Results__c.AIM_Year_of_Result_PR__c"," ","_"))),-1) &lt; 0, XAuthorInvalidPicklistData,INDIRECT(SUBSTITUTE("AIM_Impact_Indicator_Targets_Results__c.AIM_Year_of_Result_PR__c"," ","_")))</formula1>
    </dataValidation>
    <dataValidation type="list" allowBlank="1" showInputMessage="1" showErrorMessage="1" errorTitle="X-Author for Excel" error="Please select a value from the drop-down." promptTitle="X-Author for Excel" sqref="Q9:Q16">
      <formula1>IF(IFERROR(ROWS(INDIRECT(SUBSTITUTE("AIM_Impact_Indicator_Targets_Results__c.AIM_Data_Source_Result_PR__c"," ","_"))),-1) &lt; 0, XAuthorInvalidPicklistData,INDIRECT(SUBSTITUTE("AIM_Impact_Indicator_Targets_Results__c.AIM_Data_Source_Result_PR__c"," ","_")))</formula1>
    </dataValidation>
    <dataValidation type="list" allowBlank="1" showInputMessage="1" showErrorMessage="1" errorTitle="X-Author for Excel" error="Please select a value from the drop-down." promptTitle="X-Author for Excel" sqref="S9:S16">
      <formula1>IF(IFERROR(ROWS(INDIRECT(SUBSTITUTE("AIM_Impact_Indicator_Targets_Results__c.AIM_Verification_Method_LFA__c"," ","_"))),-1) &lt; 0, XAuthorInvalidPicklistData,INDIRECT(SUBSTITUTE("AIM_Impact_Indicator_Targets_Results__c.AIM_Verification_Method_LFA__c"," ","_")))</formula1>
    </dataValidation>
    <dataValidation type="decimal" allowBlank="1" showInputMessage="1" showErrorMessage="1" errorTitle="X-Author for Excel" error="Please enter a valid numeric value. Valid range for Verified Result N#  (LFA) is -9999999999.99 to 9999999999.99." promptTitle="X-Author for Excel" sqref="T9:T16 T18:T25">
      <formula1>-9999999999.99</formula1>
      <formula2>9999999999.99</formula2>
    </dataValidation>
    <dataValidation type="decimal" allowBlank="1" showInputMessage="1" showErrorMessage="1" errorTitle="X-Author for Excel" error="Please enter a valid numeric value. Valid range for Verified Result D# (LFA) is -9999999999.99 to 9999999999.99." promptTitle="X-Author for Excel" sqref="U9:U16 U18:U25">
      <formula1>-9999999999.99</formula1>
      <formula2>9999999999.99</formula2>
    </dataValidation>
    <dataValidation type="decimal" allowBlank="1" showInputMessage="1" showErrorMessage="1" errorTitle="X-Author for Excel" error="Please enter a valid numeric value. Valid range for Verified Result % (LFA) is -999.99 to 999.99." promptTitle="X-Author for Excel" sqref="V9:V16 V18:V25">
      <formula1>-999.99</formula1>
      <formula2>999.99</formula2>
    </dataValidation>
    <dataValidation type="list" allowBlank="1" showInputMessage="1" showErrorMessage="1" errorTitle="X-Author for Excel" error="Please select a value from the drop-down." promptTitle="X-Author for Excel" sqref="W9:W16">
      <formula1>IF(IFERROR(ROWS(INDIRECT(SUBSTITUTE("AIM_Impact_Indicator_Targets_Results__c.AIM_Year_of_Result_LFA__c"," ","_"))),-1) &lt; 0, XAuthorInvalidPicklistData,INDIRECT(SUBSTITUTE("AIM_Impact_Indicator_Targets_Results__c.AIM_Year_of_Result_LFA__c"," ","_")))</formula1>
    </dataValidation>
    <dataValidation type="list" allowBlank="1" showInputMessage="1" showErrorMessage="1" errorTitle="X-Author for Excel" error="Please select a value from the drop-down." promptTitle="X-Author for Excel" sqref="X9:X16">
      <formula1>IF(IFERROR(ROWS(INDIRECT(SUBSTITUTE("AIM_Impact_Indicator_Targets_Results__c.AIM_Data_Source_Result_LFA__c"," ","_"))),-1) &lt; 0, XAuthorInvalidPicklistData,INDIRECT(SUBSTITUTE("AIM_Impact_Indicator_Targets_Results__c.AIM_Data_Source_Result_LFA__c"," ","_")))</formula1>
    </dataValidation>
    <dataValidation type="custom" allowBlank="1" showInputMessage="1" showErrorMessage="1" errorTitle="X-Author for Excel" error="Id and Lookup fields are not editable." promptTitle="X-Author for Excel" sqref="AG9:AG16 AG18:AG25">
      <formula1>""</formula1>
    </dataValidation>
    <dataValidation type="list" allowBlank="1" showInputMessage="1" showErrorMessage="1" errorTitle="X-Author for Excel" error="Please select a value from the drop-down." promptTitle="X-Author for Excel" sqref="G18:G25">
      <formula1>IF(IFERROR(ROWS(INDIRECT(SUBSTITUTE("AIM_Outcome_Indicator__c.AIM_Baseline_Year__c"," ","_"))),-1) &lt; 0, XAuthorInvalidPicklistData,INDIRECT(SUBSTITUTE("AIM_Outcome_Indicator__c.AIM_Baseline_Year__c"," ","_")))</formula1>
    </dataValidation>
    <dataValidation type="list" allowBlank="1" showInputMessage="1" showErrorMessage="1" errorTitle="X-Author for Excel" error="Please select a value from the drop-down." promptTitle="X-Author for Excel" sqref="K18:K25">
      <formula1>IF(IFERROR(ROWS(INDIRECT(SUBSTITUTE("AIM_Outcome_Indicator_Targets_Result__c.AIM_Year_of_Target__c"," ","_"))),-1) &lt; 0, XAuthorInvalidPicklistData,INDIRECT(SUBSTITUTE("AIM_Outcome_Indicator_Targets_Result__c.AIM_Year_of_Target__c"," ","_")))</formula1>
    </dataValidation>
    <dataValidation type="decimal" allowBlank="1" showInputMessage="1" showErrorMessage="1" errorTitle="X-Author for Excel" error="Please enter a valid numeric value. Valid range for Result N#  (PR) is -9999999999 to 9999999999." promptTitle="X-Author for Excel" sqref="M18:M25">
      <formula1>-9999999999</formula1>
      <formula2>9999999999</formula2>
    </dataValidation>
    <dataValidation type="decimal" allowBlank="1" showInputMessage="1" showErrorMessage="1" errorTitle="X-Author for Excel" error="Please enter a valid numeric value. Valid range for Result D# (PR) is -9999999999 to 9999999999." promptTitle="X-Author for Excel" sqref="N18:N25">
      <formula1>-9999999999</formula1>
      <formula2>9999999999</formula2>
    </dataValidation>
    <dataValidation type="list" allowBlank="1" showInputMessage="1" showErrorMessage="1" errorTitle="X-Author for Excel" error="Please select a value from the drop-down." promptTitle="X-Author for Excel" sqref="P18:P25">
      <formula1>IF(IFERROR(ROWS(INDIRECT(SUBSTITUTE("AIM_Outcome_Indicator_Targets_Result__c.AIM_Year_of_Result_PR__c"," ","_"))),-1) &lt; 0, XAuthorInvalidPicklistData,INDIRECT(SUBSTITUTE("AIM_Outcome_Indicator_Targets_Result__c.AIM_Year_of_Result_PR__c"," ","_")))</formula1>
    </dataValidation>
    <dataValidation type="list" allowBlank="1" showInputMessage="1" showErrorMessage="1" errorTitle="X-Author for Excel" error="Please select a value from the drop-down." promptTitle="X-Author for Excel" sqref="Q18:Q25">
      <formula1>IF(IFERROR(ROWS(INDIRECT(SUBSTITUTE("AIM_Outcome_Indicator_Targets_Result__c.AIM_Data_Source_Result_PR__c"," ","_"))),-1) &lt; 0, XAuthorInvalidPicklistData,INDIRECT(SUBSTITUTE("AIM_Outcome_Indicator_Targets_Result__c.AIM_Data_Source_Result_PR__c"," ","_")))</formula1>
    </dataValidation>
    <dataValidation type="list" allowBlank="1" showInputMessage="1" showErrorMessage="1" errorTitle="X-Author for Excel" error="Please select a value from the drop-down." promptTitle="X-Author for Excel" sqref="S18:S25">
      <formula1>IF(IFERROR(ROWS(INDIRECT(SUBSTITUTE("AIM_Outcome_Indicator_Targets_Result__c.AIM_Verification_Method_LFA__c"," ","_"))),-1) &lt; 0, XAuthorInvalidPicklistData,INDIRECT(SUBSTITUTE("AIM_Outcome_Indicator_Targets_Result__c.AIM_Verification_Method_LFA__c"," ","_")))</formula1>
    </dataValidation>
    <dataValidation type="list" allowBlank="1" showInputMessage="1" showErrorMessage="1" errorTitle="X-Author for Excel" error="Please select a value from the drop-down." promptTitle="X-Author for Excel" sqref="W18:W25">
      <formula1>IF(IFERROR(ROWS(INDIRECT(SUBSTITUTE("AIM_Outcome_Indicator_Targets_Result__c.AIM_Year_of_Result_LFA__c"," ","_"))),-1) &lt; 0, XAuthorInvalidPicklistData,INDIRECT(SUBSTITUTE("AIM_Outcome_Indicator_Targets_Result__c.AIM_Year_of_Result_LFA__c"," ","_")))</formula1>
    </dataValidation>
    <dataValidation type="list" allowBlank="1" showInputMessage="1" showErrorMessage="1" errorTitle="X-Author for Excel" error="Please select a value from the drop-down." promptTitle="X-Author for Excel" sqref="X18:X25">
      <formula1>IF(IFERROR(ROWS(INDIRECT(SUBSTITUTE("AIM_Outcome_Indicator_Targets_Result__c.AIM_Data_Source_Result_LFA__c"," ","_"))),-1) &lt; 0, XAuthorInvalidPicklistData,INDIRECT(SUBSTITUTE("AIM_Outcome_Indicator_Targets_Result__c.AIM_Data_Source_Result_LFA__c"," ","_")))</formula1>
    </dataValidation>
  </dataValidations>
  <printOptions horizontalCentered="1" verticalCentered="1"/>
  <pageMargins left="0.23622047244094491" right="0.23622047244094491" top="0.74803149606299213" bottom="0.74803149606299213" header="0.31496062992125984" footer="0.31496062992125984"/>
  <pageSetup paperSize="9" scale="18" orientation="landscape" cellComments="asDisplayed" r:id="rId2"/>
  <headerFooter alignWithMargins="0">
    <oddFooter>&amp;L&amp;A&amp;R&amp;P</oddFooter>
  </headerFooter>
  <rowBreaks count="2" manualBreakCount="2">
    <brk id="28" max="16383" man="1"/>
    <brk id="37" max="42" man="1"/>
  </rowBreaks>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rgb="FF00FF00"/>
  </sheetPr>
  <dimension ref="A1:BB186"/>
  <sheetViews>
    <sheetView showGridLines="0" view="pageBreakPreview" topLeftCell="D2" zoomScale="75" zoomScaleNormal="55" zoomScaleSheetLayoutView="75" workbookViewId="0">
      <selection activeCell="K11" sqref="K11"/>
    </sheetView>
  </sheetViews>
  <sheetFormatPr defaultColWidth="9.140625" defaultRowHeight="12.75" x14ac:dyDescent="0.2"/>
  <cols>
    <col min="1" max="1" width="24.140625" style="145" customWidth="1"/>
    <col min="2" max="2" width="57.5703125" style="19" customWidth="1"/>
    <col min="3" max="3" width="23.85546875" style="19" customWidth="1"/>
    <col min="4" max="4" width="26.85546875" style="19" customWidth="1"/>
    <col min="5" max="5" width="18.85546875" style="19" bestFit="1" customWidth="1"/>
    <col min="6" max="6" width="15.85546875" style="19" customWidth="1"/>
    <col min="7" max="7" width="20.140625" style="19" bestFit="1" customWidth="1"/>
    <col min="8" max="8" width="20.140625" style="19" customWidth="1"/>
    <col min="9" max="9" width="22.140625" style="19" bestFit="1" customWidth="1"/>
    <col min="10" max="10" width="23.85546875" style="19" bestFit="1" customWidth="1"/>
    <col min="11" max="11" width="82.42578125" style="19" customWidth="1"/>
    <col min="12" max="12" width="34.42578125" style="19" bestFit="1" customWidth="1"/>
    <col min="13" max="13" width="42.140625" style="19" customWidth="1"/>
    <col min="14" max="14" width="65.42578125" style="19" customWidth="1"/>
    <col min="15" max="15" width="30.85546875" style="19" hidden="1" customWidth="1"/>
    <col min="16" max="16" width="74.140625" style="19" hidden="1" customWidth="1"/>
    <col min="17" max="17" width="9.140625" style="430" hidden="1" customWidth="1"/>
    <col min="18" max="18" width="0.140625" style="46" customWidth="1"/>
    <col min="19" max="19" width="20" style="46" customWidth="1"/>
    <col min="20" max="20" width="9.140625" style="430" customWidth="1"/>
    <col min="21" max="25" width="9.140625" style="46"/>
    <col min="26" max="16384" width="9.140625" style="19"/>
  </cols>
  <sheetData>
    <row r="1" spans="1:54" ht="53.25" customHeight="1" x14ac:dyDescent="0.2">
      <c r="A1" s="830" t="str">
        <f>IF(CoverSheet!J12="N/A","Progress Report","Progress Report with Disbursement Request")</f>
        <v>Progress Report with Disbursement Request</v>
      </c>
      <c r="B1" s="392"/>
      <c r="C1" s="393"/>
      <c r="D1" s="392"/>
      <c r="E1" s="392"/>
      <c r="F1" s="394"/>
      <c r="G1" s="46"/>
      <c r="H1" s="46"/>
    </row>
    <row r="2" spans="1:54" s="8" customFormat="1" ht="33.75" customHeight="1" x14ac:dyDescent="0.2">
      <c r="A2" s="119" t="s">
        <v>170</v>
      </c>
      <c r="B2" s="386"/>
      <c r="C2" s="386"/>
      <c r="D2" s="386"/>
      <c r="E2" s="386"/>
      <c r="F2" s="386"/>
      <c r="G2" s="386"/>
      <c r="H2" s="386"/>
      <c r="I2" s="386"/>
      <c r="J2" s="386"/>
      <c r="K2" s="386"/>
      <c r="L2" s="386"/>
      <c r="M2" s="386"/>
      <c r="N2" s="386"/>
      <c r="O2" s="386"/>
      <c r="P2" s="386"/>
      <c r="Q2" s="387"/>
      <c r="R2" s="14"/>
      <c r="S2" s="14"/>
      <c r="T2" s="387"/>
      <c r="U2" s="14"/>
      <c r="V2" s="14"/>
      <c r="W2" s="14"/>
      <c r="X2" s="14"/>
      <c r="Y2" s="14"/>
    </row>
    <row r="3" spans="1:54" ht="13.5" thickBot="1" x14ac:dyDescent="0.25">
      <c r="A3" s="395"/>
      <c r="B3" s="46"/>
      <c r="C3" s="46"/>
      <c r="D3" s="46"/>
      <c r="E3" s="46"/>
      <c r="F3" s="46"/>
      <c r="G3" s="46"/>
      <c r="H3" s="46"/>
    </row>
    <row r="4" spans="1:54" s="396" customFormat="1" ht="28.5" customHeight="1" thickBot="1" x14ac:dyDescent="0.25">
      <c r="A4" s="1427" t="s">
        <v>171</v>
      </c>
      <c r="B4" s="1428"/>
      <c r="C4" s="1428"/>
      <c r="D4" s="1428"/>
      <c r="E4" s="1428"/>
      <c r="F4" s="1428"/>
      <c r="G4" s="1428"/>
      <c r="H4" s="1428"/>
      <c r="I4" s="1428"/>
      <c r="J4" s="1428"/>
      <c r="K4" s="1429"/>
      <c r="L4" s="1420"/>
      <c r="M4" s="1421"/>
      <c r="N4" s="1422"/>
      <c r="O4" s="1420" t="s">
        <v>101</v>
      </c>
      <c r="P4" s="1421"/>
      <c r="Q4" s="519"/>
      <c r="R4" s="423"/>
      <c r="S4" s="46"/>
      <c r="T4" s="430"/>
      <c r="U4" s="46"/>
      <c r="V4" s="46"/>
      <c r="W4" s="46"/>
      <c r="X4" s="46"/>
      <c r="Y4" s="46"/>
      <c r="Z4" s="19"/>
      <c r="AA4" s="19"/>
      <c r="AB4" s="19"/>
      <c r="AC4" s="19"/>
      <c r="AD4" s="19"/>
      <c r="AE4" s="19"/>
      <c r="AF4" s="19"/>
      <c r="AG4" s="19"/>
      <c r="AH4" s="19"/>
      <c r="AI4" s="19"/>
      <c r="AJ4" s="19"/>
      <c r="AK4" s="19"/>
      <c r="AL4" s="19"/>
      <c r="AM4" s="19"/>
      <c r="AN4" s="19"/>
      <c r="AO4" s="19"/>
      <c r="AP4" s="19"/>
      <c r="AQ4" s="19"/>
      <c r="AR4" s="19"/>
      <c r="AS4" s="19"/>
      <c r="AT4" s="19"/>
      <c r="AU4" s="19"/>
      <c r="AV4" s="19"/>
      <c r="AW4" s="19"/>
      <c r="AX4" s="19"/>
      <c r="AY4" s="19"/>
      <c r="AZ4" s="19"/>
      <c r="BA4" s="19"/>
      <c r="BB4" s="19"/>
    </row>
    <row r="5" spans="1:54" ht="30" customHeight="1" x14ac:dyDescent="0.2">
      <c r="A5" s="1430" t="s">
        <v>90</v>
      </c>
      <c r="B5" s="1432" t="s">
        <v>533</v>
      </c>
      <c r="C5" s="1432" t="s">
        <v>93</v>
      </c>
      <c r="D5" s="1432" t="s">
        <v>21</v>
      </c>
      <c r="E5" s="1433" t="s">
        <v>99</v>
      </c>
      <c r="F5" s="1425"/>
      <c r="G5" s="1426"/>
      <c r="H5" s="1432" t="s">
        <v>406</v>
      </c>
      <c r="I5" s="1425" t="s">
        <v>232</v>
      </c>
      <c r="J5" s="1426"/>
      <c r="K5" s="1434" t="s">
        <v>27</v>
      </c>
      <c r="L5" s="1423" t="s">
        <v>13</v>
      </c>
      <c r="M5" s="1424"/>
      <c r="N5" s="1417" t="s">
        <v>29</v>
      </c>
      <c r="O5" s="1419" t="s">
        <v>207</v>
      </c>
      <c r="P5" s="1419" t="s">
        <v>211</v>
      </c>
      <c r="R5" s="517"/>
    </row>
    <row r="6" spans="1:54" ht="57" customHeight="1" x14ac:dyDescent="0.2">
      <c r="A6" s="1431"/>
      <c r="B6" s="1400"/>
      <c r="C6" s="1400"/>
      <c r="D6" s="1400"/>
      <c r="E6" s="503" t="s">
        <v>357</v>
      </c>
      <c r="F6" s="503" t="s">
        <v>323</v>
      </c>
      <c r="G6" s="503" t="s">
        <v>358</v>
      </c>
      <c r="H6" s="1400"/>
      <c r="I6" s="656" t="s">
        <v>357</v>
      </c>
      <c r="J6" s="503" t="s">
        <v>358</v>
      </c>
      <c r="K6" s="1435"/>
      <c r="L6" s="465" t="s">
        <v>357</v>
      </c>
      <c r="M6" s="465" t="s">
        <v>358</v>
      </c>
      <c r="N6" s="1418"/>
      <c r="O6" s="1419"/>
      <c r="P6" s="1419"/>
      <c r="Q6" s="430" t="s">
        <v>356</v>
      </c>
      <c r="R6" s="517"/>
    </row>
    <row r="7" spans="1:54" ht="30" hidden="1" x14ac:dyDescent="0.2">
      <c r="A7" s="654" t="s">
        <v>287</v>
      </c>
      <c r="B7" s="438" t="s">
        <v>288</v>
      </c>
      <c r="C7" s="438" t="s">
        <v>305</v>
      </c>
      <c r="D7" s="438" t="s">
        <v>306</v>
      </c>
      <c r="E7" s="438" t="s">
        <v>290</v>
      </c>
      <c r="F7" s="440" t="s">
        <v>291</v>
      </c>
      <c r="G7" s="660" t="s">
        <v>307</v>
      </c>
      <c r="H7" s="438" t="s">
        <v>405</v>
      </c>
      <c r="I7" s="530" t="s">
        <v>308</v>
      </c>
      <c r="J7" s="410" t="s">
        <v>309</v>
      </c>
      <c r="K7" s="655" t="s">
        <v>310</v>
      </c>
      <c r="L7" s="529" t="s">
        <v>311</v>
      </c>
      <c r="M7" s="410" t="s">
        <v>312</v>
      </c>
      <c r="N7" s="410" t="s">
        <v>313</v>
      </c>
      <c r="O7" s="508" t="str">
        <f>L7</f>
        <v>[Verified Result Value (LFA)]</v>
      </c>
      <c r="P7" s="516"/>
      <c r="Q7" s="497" t="s">
        <v>355</v>
      </c>
      <c r="R7" s="518"/>
      <c r="S7" s="395"/>
    </row>
    <row r="8" spans="1:54" ht="51.75" hidden="1" customHeight="1" x14ac:dyDescent="0.2">
      <c r="A8" s="1416" t="s">
        <v>302</v>
      </c>
      <c r="B8" s="1416"/>
      <c r="C8" s="1416"/>
      <c r="D8" s="1416"/>
      <c r="E8" s="1416"/>
      <c r="F8" s="1416"/>
      <c r="G8" s="1416"/>
      <c r="H8" s="1416"/>
      <c r="I8" s="1416"/>
      <c r="J8" s="1416"/>
      <c r="K8" s="1416"/>
      <c r="L8" s="1416"/>
      <c r="M8" s="1416"/>
      <c r="N8" s="1416"/>
      <c r="O8" s="1222"/>
      <c r="P8" s="1222"/>
      <c r="Q8" s="1223" t="s">
        <v>356</v>
      </c>
      <c r="R8" s="517"/>
    </row>
    <row r="9" spans="1:54" ht="30" hidden="1" x14ac:dyDescent="0.2">
      <c r="A9" s="1224" t="s">
        <v>301</v>
      </c>
      <c r="B9" s="1225" t="s">
        <v>303</v>
      </c>
      <c r="C9" s="1225" t="s">
        <v>305</v>
      </c>
      <c r="D9" s="1225" t="s">
        <v>306</v>
      </c>
      <c r="E9" s="1225" t="s">
        <v>290</v>
      </c>
      <c r="F9" s="1225" t="s">
        <v>291</v>
      </c>
      <c r="G9" s="1225" t="s">
        <v>307</v>
      </c>
      <c r="H9" s="1225" t="s">
        <v>405</v>
      </c>
      <c r="I9" s="1226" t="s">
        <v>308</v>
      </c>
      <c r="J9" s="1227" t="s">
        <v>309</v>
      </c>
      <c r="K9" s="1228" t="s">
        <v>310</v>
      </c>
      <c r="L9" s="1211" t="s">
        <v>311</v>
      </c>
      <c r="M9" s="1227" t="s">
        <v>312</v>
      </c>
      <c r="N9" s="1227" t="s">
        <v>313</v>
      </c>
      <c r="O9" s="1229" t="str">
        <f t="shared" ref="O9:O11" si="0">L9</f>
        <v>[Verified Result Value (LFA)]</v>
      </c>
      <c r="P9" s="543"/>
      <c r="Q9" s="1223" t="s">
        <v>355</v>
      </c>
      <c r="R9" s="517"/>
    </row>
    <row r="10" spans="1:54" ht="60" x14ac:dyDescent="0.2">
      <c r="A10" s="1224" t="s">
        <v>302</v>
      </c>
      <c r="B10" s="1225" t="s">
        <v>997</v>
      </c>
      <c r="C10" s="1225" t="s">
        <v>1001</v>
      </c>
      <c r="D10" s="1225" t="s">
        <v>1002</v>
      </c>
      <c r="E10" s="1225"/>
      <c r="F10" s="1225"/>
      <c r="G10" s="1225" t="s">
        <v>1003</v>
      </c>
      <c r="H10" s="1225" t="s">
        <v>833</v>
      </c>
      <c r="I10" s="1226"/>
      <c r="J10" s="1227"/>
      <c r="K10" s="1228" t="s">
        <v>1688</v>
      </c>
      <c r="L10" s="1211"/>
      <c r="M10" s="1227"/>
      <c r="N10" s="1227"/>
      <c r="O10" s="1229">
        <f t="shared" si="0"/>
        <v>0</v>
      </c>
      <c r="P10" s="543"/>
      <c r="Q10" s="1223" t="s">
        <v>1004</v>
      </c>
      <c r="R10" s="517"/>
    </row>
    <row r="11" spans="1:54" ht="60" x14ac:dyDescent="0.2">
      <c r="A11" s="1224" t="s">
        <v>302</v>
      </c>
      <c r="B11" s="1225" t="s">
        <v>997</v>
      </c>
      <c r="C11" s="1225" t="s">
        <v>1001</v>
      </c>
      <c r="D11" s="1225" t="s">
        <v>1002</v>
      </c>
      <c r="E11" s="1225"/>
      <c r="F11" s="1225"/>
      <c r="G11" s="1225" t="s">
        <v>1003</v>
      </c>
      <c r="H11" s="1225" t="s">
        <v>834</v>
      </c>
      <c r="I11" s="1226"/>
      <c r="J11" s="1227"/>
      <c r="K11" s="1228" t="s">
        <v>1688</v>
      </c>
      <c r="L11" s="1211"/>
      <c r="M11" s="1227"/>
      <c r="N11" s="1227"/>
      <c r="O11" s="1229">
        <f t="shared" si="0"/>
        <v>0</v>
      </c>
      <c r="P11" s="543"/>
      <c r="Q11" s="1223" t="s">
        <v>1005</v>
      </c>
      <c r="R11" s="517"/>
    </row>
    <row r="12" spans="1:54" ht="2.4500000000000002" customHeight="1" thickBot="1" x14ac:dyDescent="0.25">
      <c r="A12" s="424"/>
      <c r="B12" s="425"/>
      <c r="C12" s="425"/>
      <c r="D12" s="425"/>
      <c r="E12" s="426"/>
      <c r="F12" s="425"/>
      <c r="G12" s="426"/>
      <c r="H12" s="426"/>
      <c r="I12" s="425"/>
      <c r="J12" s="426"/>
      <c r="K12" s="425"/>
      <c r="L12" s="426"/>
      <c r="M12" s="425"/>
      <c r="N12" s="427"/>
      <c r="O12" s="428"/>
      <c r="P12" s="427"/>
      <c r="Q12" s="520" t="s">
        <v>355</v>
      </c>
      <c r="R12" s="429"/>
    </row>
    <row r="13" spans="1:54" ht="74.25" customHeight="1" x14ac:dyDescent="0.2">
      <c r="A13" s="395"/>
      <c r="B13" s="395"/>
      <c r="C13" s="395"/>
      <c r="D13" s="395"/>
      <c r="E13" s="46"/>
      <c r="F13" s="395"/>
      <c r="G13" s="46"/>
      <c r="H13" s="46"/>
      <c r="I13" s="395"/>
      <c r="J13" s="46"/>
      <c r="K13" s="395"/>
      <c r="L13" s="46"/>
      <c r="M13" s="395"/>
      <c r="N13" s="397"/>
      <c r="O13" s="398"/>
      <c r="P13" s="397"/>
    </row>
    <row r="14" spans="1:54" ht="74.25" customHeight="1" x14ac:dyDescent="0.2">
      <c r="A14" s="395"/>
      <c r="B14" s="395"/>
      <c r="C14" s="395"/>
      <c r="D14" s="395"/>
      <c r="E14" s="46"/>
      <c r="F14" s="395"/>
      <c r="G14" s="46"/>
      <c r="H14" s="46"/>
      <c r="I14" s="395"/>
      <c r="J14" s="46"/>
      <c r="K14" s="395"/>
      <c r="L14" s="46"/>
      <c r="M14" s="395"/>
      <c r="N14" s="1415"/>
      <c r="O14" s="398"/>
      <c r="P14" s="397"/>
    </row>
    <row r="15" spans="1:54" ht="74.25" customHeight="1" x14ac:dyDescent="0.2">
      <c r="A15" s="395"/>
      <c r="B15" s="395"/>
      <c r="C15" s="395"/>
      <c r="D15" s="395"/>
      <c r="E15" s="46"/>
      <c r="F15" s="395"/>
      <c r="G15" s="46"/>
      <c r="H15" s="46"/>
      <c r="I15" s="395"/>
      <c r="J15" s="46"/>
      <c r="K15" s="395"/>
      <c r="L15" s="46"/>
      <c r="M15" s="395"/>
      <c r="N15" s="1415"/>
      <c r="O15" s="398"/>
      <c r="P15" s="397"/>
    </row>
    <row r="16" spans="1:54" ht="74.25" customHeight="1" x14ac:dyDescent="0.2">
      <c r="A16" s="395"/>
      <c r="B16" s="395"/>
      <c r="C16" s="395"/>
      <c r="D16" s="395"/>
      <c r="E16" s="46"/>
      <c r="F16" s="395"/>
      <c r="G16" s="46"/>
      <c r="H16" s="46"/>
      <c r="I16" s="395"/>
      <c r="J16" s="46"/>
      <c r="K16" s="395"/>
      <c r="L16" s="971"/>
      <c r="M16" s="972"/>
      <c r="N16" s="972"/>
      <c r="O16" s="398"/>
      <c r="P16" s="397"/>
    </row>
    <row r="17" spans="1:16" ht="74.25" customHeight="1" x14ac:dyDescent="0.2">
      <c r="A17" s="395"/>
      <c r="B17" s="395"/>
      <c r="C17" s="395"/>
      <c r="D17" s="395"/>
      <c r="E17" s="46"/>
      <c r="F17" s="395"/>
      <c r="G17" s="46"/>
      <c r="H17" s="46"/>
      <c r="I17" s="395"/>
      <c r="J17" s="46"/>
      <c r="K17" s="395"/>
      <c r="L17" s="46"/>
      <c r="M17" s="395"/>
      <c r="N17" s="397"/>
      <c r="O17" s="398"/>
      <c r="P17" s="397"/>
    </row>
    <row r="18" spans="1:16" ht="74.25" customHeight="1" x14ac:dyDescent="0.2">
      <c r="A18" s="395"/>
      <c r="B18" s="395"/>
      <c r="C18" s="395"/>
      <c r="D18" s="395"/>
      <c r="E18" s="46"/>
      <c r="F18" s="395"/>
      <c r="G18" s="46"/>
      <c r="H18" s="46"/>
      <c r="I18" s="395"/>
      <c r="J18" s="46"/>
      <c r="K18" s="395"/>
      <c r="L18" s="46"/>
      <c r="M18" s="395"/>
      <c r="N18" s="397"/>
      <c r="O18" s="398"/>
      <c r="P18" s="397"/>
    </row>
    <row r="19" spans="1:16" ht="74.25" customHeight="1" x14ac:dyDescent="0.2">
      <c r="A19" s="395"/>
      <c r="B19" s="395"/>
      <c r="C19" s="395"/>
      <c r="D19" s="395"/>
      <c r="E19" s="46"/>
      <c r="F19" s="395"/>
      <c r="G19" s="46"/>
      <c r="H19" s="46"/>
      <c r="I19" s="395"/>
      <c r="J19" s="46"/>
      <c r="K19" s="395"/>
      <c r="L19" s="46"/>
      <c r="M19" s="395"/>
      <c r="N19" s="397"/>
      <c r="O19" s="398"/>
      <c r="P19" s="397"/>
    </row>
    <row r="20" spans="1:16" ht="74.25" customHeight="1" x14ac:dyDescent="0.2">
      <c r="A20" s="395"/>
      <c r="B20" s="395"/>
      <c r="C20" s="395"/>
      <c r="D20" s="395"/>
      <c r="E20" s="46"/>
      <c r="F20" s="395"/>
      <c r="G20" s="46"/>
      <c r="H20" s="46"/>
      <c r="I20" s="395"/>
      <c r="J20" s="46"/>
      <c r="K20" s="395"/>
      <c r="L20" s="46"/>
      <c r="M20" s="395"/>
      <c r="N20" s="397"/>
      <c r="O20" s="398"/>
      <c r="P20" s="397"/>
    </row>
    <row r="21" spans="1:16" ht="74.25" customHeight="1" x14ac:dyDescent="0.2">
      <c r="A21" s="395"/>
      <c r="B21" s="395"/>
      <c r="C21" s="395"/>
      <c r="D21" s="395"/>
      <c r="E21" s="46"/>
      <c r="F21" s="395"/>
      <c r="G21" s="46"/>
      <c r="H21" s="46"/>
      <c r="I21" s="395"/>
      <c r="J21" s="46"/>
      <c r="K21" s="395"/>
      <c r="L21" s="46"/>
      <c r="M21" s="395"/>
      <c r="N21" s="397"/>
      <c r="O21" s="398"/>
      <c r="P21" s="397"/>
    </row>
    <row r="22" spans="1:16" ht="74.25" customHeight="1" x14ac:dyDescent="0.2">
      <c r="A22" s="395"/>
      <c r="B22" s="395"/>
      <c r="C22" s="395"/>
      <c r="D22" s="395"/>
      <c r="E22" s="46"/>
      <c r="F22" s="395"/>
      <c r="G22" s="46"/>
      <c r="H22" s="46"/>
      <c r="I22" s="395"/>
      <c r="J22" s="46"/>
      <c r="K22" s="395"/>
      <c r="L22" s="46"/>
      <c r="M22" s="395"/>
      <c r="N22" s="397"/>
      <c r="O22" s="398"/>
      <c r="P22" s="397"/>
    </row>
    <row r="23" spans="1:16" ht="74.25" customHeight="1" x14ac:dyDescent="0.2">
      <c r="A23" s="395"/>
      <c r="B23" s="395"/>
      <c r="C23" s="395"/>
      <c r="D23" s="395"/>
      <c r="E23" s="46"/>
      <c r="F23" s="395"/>
      <c r="G23" s="46"/>
      <c r="H23" s="46"/>
      <c r="I23" s="395"/>
      <c r="J23" s="46"/>
      <c r="K23" s="395"/>
      <c r="L23" s="46"/>
      <c r="M23" s="395"/>
      <c r="N23" s="397"/>
      <c r="O23" s="398"/>
      <c r="P23" s="397"/>
    </row>
    <row r="24" spans="1:16" ht="74.25" customHeight="1" x14ac:dyDescent="0.2">
      <c r="A24" s="395"/>
      <c r="B24" s="395"/>
      <c r="C24" s="395"/>
      <c r="D24" s="395"/>
      <c r="E24" s="46"/>
      <c r="F24" s="395"/>
      <c r="G24" s="46"/>
      <c r="H24" s="46"/>
      <c r="I24" s="395"/>
      <c r="J24" s="46"/>
      <c r="K24" s="395"/>
      <c r="L24" s="46"/>
      <c r="M24" s="395"/>
      <c r="N24" s="397"/>
      <c r="O24" s="398"/>
      <c r="P24" s="397"/>
    </row>
    <row r="25" spans="1:16" ht="74.25" customHeight="1" x14ac:dyDescent="0.2">
      <c r="A25" s="395"/>
      <c r="B25" s="395"/>
      <c r="C25" s="395"/>
      <c r="D25" s="395"/>
      <c r="E25" s="46"/>
      <c r="F25" s="395"/>
      <c r="G25" s="46"/>
      <c r="H25" s="46"/>
      <c r="I25" s="395"/>
      <c r="J25" s="46"/>
      <c r="K25" s="395"/>
      <c r="L25" s="46"/>
      <c r="M25" s="395"/>
      <c r="N25" s="397"/>
      <c r="O25" s="398"/>
      <c r="P25" s="397"/>
    </row>
    <row r="26" spans="1:16" ht="74.25" customHeight="1" x14ac:dyDescent="0.2">
      <c r="A26" s="395"/>
      <c r="B26" s="395"/>
      <c r="C26" s="395"/>
      <c r="D26" s="395"/>
      <c r="E26" s="46"/>
      <c r="F26" s="395"/>
      <c r="G26" s="46"/>
      <c r="H26" s="46"/>
      <c r="I26" s="395"/>
      <c r="J26" s="46"/>
      <c r="K26" s="395"/>
      <c r="L26" s="46"/>
      <c r="M26" s="395"/>
      <c r="N26" s="397"/>
      <c r="O26" s="398"/>
      <c r="P26" s="397"/>
    </row>
    <row r="27" spans="1:16" ht="74.25" customHeight="1" x14ac:dyDescent="0.2">
      <c r="A27" s="395"/>
      <c r="B27" s="395"/>
      <c r="C27" s="395"/>
      <c r="D27" s="395"/>
      <c r="E27" s="46"/>
      <c r="F27" s="395"/>
      <c r="G27" s="46"/>
      <c r="H27" s="46"/>
      <c r="I27" s="395"/>
      <c r="J27" s="46"/>
      <c r="K27" s="395"/>
      <c r="L27" s="46"/>
      <c r="M27" s="395"/>
      <c r="N27" s="397"/>
      <c r="O27" s="398"/>
      <c r="P27" s="397"/>
    </row>
    <row r="28" spans="1:16" ht="74.25" customHeight="1" x14ac:dyDescent="0.2">
      <c r="A28" s="395"/>
      <c r="B28" s="395"/>
      <c r="C28" s="395"/>
      <c r="D28" s="395"/>
      <c r="E28" s="46"/>
      <c r="F28" s="395"/>
      <c r="G28" s="46"/>
      <c r="H28" s="46"/>
      <c r="I28" s="395"/>
      <c r="J28" s="46"/>
      <c r="K28" s="395"/>
      <c r="L28" s="46"/>
      <c r="M28" s="395"/>
      <c r="N28" s="397"/>
      <c r="O28" s="398"/>
      <c r="P28" s="397"/>
    </row>
    <row r="29" spans="1:16" ht="74.25" customHeight="1" x14ac:dyDescent="0.2">
      <c r="A29" s="395"/>
      <c r="B29" s="395"/>
      <c r="C29" s="395"/>
      <c r="D29" s="395"/>
      <c r="E29" s="46"/>
      <c r="F29" s="395"/>
      <c r="G29" s="46"/>
      <c r="H29" s="46"/>
      <c r="I29" s="395"/>
      <c r="J29" s="46"/>
      <c r="K29" s="395"/>
      <c r="L29" s="46"/>
      <c r="M29" s="395"/>
      <c r="N29" s="397"/>
      <c r="O29" s="398"/>
      <c r="P29" s="397"/>
    </row>
    <row r="30" spans="1:16" ht="74.25" customHeight="1" x14ac:dyDescent="0.2">
      <c r="A30" s="395"/>
      <c r="B30" s="395"/>
      <c r="C30" s="395"/>
      <c r="D30" s="395"/>
      <c r="E30" s="46"/>
      <c r="F30" s="395"/>
      <c r="G30" s="46"/>
      <c r="H30" s="46"/>
      <c r="I30" s="395"/>
      <c r="J30" s="46"/>
      <c r="K30" s="395"/>
      <c r="L30" s="46"/>
      <c r="M30" s="395"/>
      <c r="N30" s="397"/>
      <c r="O30" s="398"/>
      <c r="P30" s="397"/>
    </row>
    <row r="31" spans="1:16" ht="74.25" customHeight="1" x14ac:dyDescent="0.2">
      <c r="A31" s="395"/>
      <c r="B31" s="395"/>
      <c r="C31" s="395"/>
      <c r="D31" s="395"/>
      <c r="E31" s="46"/>
      <c r="F31" s="395"/>
      <c r="G31" s="46"/>
      <c r="H31" s="46"/>
      <c r="I31" s="395"/>
      <c r="J31" s="46"/>
      <c r="K31" s="395"/>
      <c r="L31" s="46"/>
      <c r="M31" s="395"/>
      <c r="N31" s="397"/>
      <c r="O31" s="398"/>
      <c r="P31" s="397"/>
    </row>
    <row r="32" spans="1:16" ht="74.25" customHeight="1" x14ac:dyDescent="0.2">
      <c r="A32" s="395"/>
      <c r="B32" s="395"/>
      <c r="C32" s="395"/>
      <c r="D32" s="395"/>
      <c r="E32" s="46"/>
      <c r="F32" s="395"/>
      <c r="G32" s="46"/>
      <c r="H32" s="46"/>
      <c r="I32" s="395"/>
      <c r="J32" s="46"/>
      <c r="K32" s="395"/>
      <c r="L32" s="46"/>
      <c r="M32" s="395"/>
      <c r="N32" s="397"/>
      <c r="O32" s="398"/>
      <c r="P32" s="397"/>
    </row>
    <row r="33" spans="1:16" ht="74.25" customHeight="1" x14ac:dyDescent="0.2">
      <c r="A33" s="395"/>
      <c r="B33" s="395"/>
      <c r="C33" s="395"/>
      <c r="D33" s="395"/>
      <c r="E33" s="46"/>
      <c r="F33" s="395"/>
      <c r="G33" s="46"/>
      <c r="H33" s="46"/>
      <c r="I33" s="395"/>
      <c r="J33" s="46"/>
      <c r="K33" s="395"/>
      <c r="L33" s="46"/>
      <c r="M33" s="395"/>
      <c r="N33" s="397"/>
      <c r="O33" s="398"/>
      <c r="P33" s="397"/>
    </row>
    <row r="34" spans="1:16" ht="74.25" customHeight="1" x14ac:dyDescent="0.2">
      <c r="A34" s="395"/>
      <c r="B34" s="395"/>
      <c r="C34" s="395"/>
      <c r="D34" s="395"/>
      <c r="E34" s="46"/>
      <c r="F34" s="395"/>
      <c r="G34" s="46"/>
      <c r="H34" s="46"/>
      <c r="I34" s="395"/>
      <c r="J34" s="46"/>
      <c r="K34" s="395"/>
      <c r="L34" s="46"/>
      <c r="M34" s="395"/>
      <c r="N34" s="397"/>
      <c r="O34" s="398"/>
      <c r="P34" s="397"/>
    </row>
    <row r="35" spans="1:16" ht="74.25" customHeight="1" x14ac:dyDescent="0.2">
      <c r="A35" s="395"/>
      <c r="B35" s="395"/>
      <c r="C35" s="395"/>
      <c r="D35" s="395"/>
      <c r="E35" s="46"/>
      <c r="F35" s="395"/>
      <c r="G35" s="46"/>
      <c r="H35" s="46"/>
      <c r="I35" s="395"/>
      <c r="J35" s="46"/>
      <c r="K35" s="395"/>
      <c r="L35" s="46"/>
      <c r="M35" s="395"/>
      <c r="N35" s="397"/>
      <c r="O35" s="398"/>
      <c r="P35" s="397"/>
    </row>
    <row r="36" spans="1:16" ht="74.25" customHeight="1" x14ac:dyDescent="0.2">
      <c r="A36" s="395"/>
      <c r="B36" s="395"/>
      <c r="C36" s="395"/>
      <c r="D36" s="395"/>
      <c r="E36" s="46"/>
      <c r="F36" s="395"/>
      <c r="G36" s="46"/>
      <c r="H36" s="46"/>
      <c r="I36" s="395"/>
      <c r="J36" s="46"/>
      <c r="K36" s="395"/>
      <c r="L36" s="46"/>
      <c r="M36" s="395"/>
      <c r="N36" s="397"/>
      <c r="O36" s="398"/>
      <c r="P36" s="397"/>
    </row>
    <row r="37" spans="1:16" ht="74.25" customHeight="1" x14ac:dyDescent="0.2">
      <c r="A37" s="395"/>
      <c r="B37" s="395"/>
      <c r="C37" s="395"/>
      <c r="D37" s="395"/>
      <c r="E37" s="46"/>
      <c r="F37" s="395"/>
      <c r="G37" s="46"/>
      <c r="H37" s="46"/>
      <c r="I37" s="395"/>
      <c r="J37" s="46"/>
      <c r="K37" s="395"/>
      <c r="L37" s="46"/>
      <c r="M37" s="395"/>
      <c r="N37" s="397"/>
      <c r="O37" s="398"/>
      <c r="P37" s="397"/>
    </row>
    <row r="38" spans="1:16" ht="74.25" customHeight="1" x14ac:dyDescent="0.2">
      <c r="A38" s="395"/>
      <c r="B38" s="395"/>
      <c r="C38" s="395"/>
      <c r="D38" s="395"/>
      <c r="E38" s="46"/>
      <c r="F38" s="395"/>
      <c r="G38" s="46"/>
      <c r="H38" s="46"/>
      <c r="I38" s="395"/>
      <c r="J38" s="46"/>
      <c r="K38" s="395"/>
      <c r="L38" s="46"/>
      <c r="M38" s="395"/>
      <c r="N38" s="397"/>
      <c r="O38" s="398"/>
      <c r="P38" s="397"/>
    </row>
    <row r="39" spans="1:16" ht="74.25" customHeight="1" x14ac:dyDescent="0.2">
      <c r="A39" s="395"/>
      <c r="B39" s="395"/>
      <c r="C39" s="395"/>
      <c r="D39" s="395"/>
      <c r="E39" s="46"/>
      <c r="F39" s="395"/>
      <c r="G39" s="46"/>
      <c r="H39" s="46"/>
      <c r="I39" s="395"/>
      <c r="J39" s="46"/>
      <c r="K39" s="395"/>
      <c r="L39" s="46"/>
      <c r="M39" s="395"/>
      <c r="N39" s="397"/>
      <c r="O39" s="398"/>
      <c r="P39" s="397"/>
    </row>
    <row r="40" spans="1:16" ht="74.25" customHeight="1" x14ac:dyDescent="0.2">
      <c r="A40" s="395"/>
      <c r="B40" s="395"/>
      <c r="C40" s="395"/>
      <c r="D40" s="395"/>
      <c r="E40" s="46"/>
      <c r="F40" s="395"/>
      <c r="G40" s="46"/>
      <c r="H40" s="46"/>
      <c r="I40" s="395"/>
      <c r="J40" s="46"/>
      <c r="K40" s="395"/>
      <c r="L40" s="46"/>
      <c r="M40" s="395"/>
      <c r="N40" s="397"/>
      <c r="O40" s="398"/>
      <c r="P40" s="397"/>
    </row>
    <row r="41" spans="1:16" ht="74.25" customHeight="1" x14ac:dyDescent="0.2">
      <c r="A41" s="395"/>
      <c r="B41" s="395"/>
      <c r="C41" s="395"/>
      <c r="D41" s="395"/>
      <c r="E41" s="46"/>
      <c r="F41" s="395"/>
      <c r="G41" s="46"/>
      <c r="H41" s="46"/>
      <c r="I41" s="395"/>
      <c r="J41" s="46"/>
      <c r="K41" s="395"/>
      <c r="L41" s="46"/>
      <c r="M41" s="395"/>
      <c r="N41" s="397"/>
      <c r="O41" s="398"/>
      <c r="P41" s="397"/>
    </row>
    <row r="42" spans="1:16" ht="74.25" customHeight="1" x14ac:dyDescent="0.2">
      <c r="A42" s="395"/>
      <c r="B42" s="395"/>
      <c r="C42" s="395"/>
      <c r="D42" s="395"/>
      <c r="E42" s="46"/>
      <c r="F42" s="395"/>
      <c r="G42" s="46"/>
      <c r="H42" s="46"/>
      <c r="I42" s="395"/>
      <c r="J42" s="46"/>
      <c r="K42" s="395"/>
      <c r="L42" s="46"/>
      <c r="M42" s="395"/>
      <c r="N42" s="397"/>
      <c r="O42" s="398"/>
      <c r="P42" s="397"/>
    </row>
    <row r="43" spans="1:16" ht="74.25" customHeight="1" x14ac:dyDescent="0.2">
      <c r="A43" s="395"/>
      <c r="B43" s="395"/>
      <c r="C43" s="395"/>
      <c r="D43" s="395"/>
      <c r="E43" s="46"/>
      <c r="F43" s="395"/>
      <c r="G43" s="46"/>
      <c r="H43" s="46"/>
      <c r="I43" s="395"/>
      <c r="J43" s="46"/>
      <c r="K43" s="395"/>
      <c r="L43" s="46"/>
      <c r="M43" s="395"/>
      <c r="N43" s="397"/>
      <c r="O43" s="398"/>
      <c r="P43" s="397"/>
    </row>
    <row r="44" spans="1:16" ht="74.25" customHeight="1" x14ac:dyDescent="0.2">
      <c r="A44" s="395"/>
      <c r="B44" s="395"/>
      <c r="C44" s="395"/>
      <c r="D44" s="395"/>
      <c r="E44" s="46"/>
      <c r="F44" s="395"/>
      <c r="G44" s="46"/>
      <c r="H44" s="46"/>
      <c r="I44" s="395"/>
      <c r="J44" s="46"/>
      <c r="K44" s="395"/>
      <c r="L44" s="46"/>
      <c r="M44" s="395"/>
      <c r="N44" s="397"/>
      <c r="O44" s="398"/>
      <c r="P44" s="397"/>
    </row>
    <row r="45" spans="1:16" ht="74.25" customHeight="1" x14ac:dyDescent="0.2">
      <c r="A45" s="395"/>
      <c r="B45" s="395"/>
      <c r="C45" s="395"/>
      <c r="D45" s="395"/>
      <c r="E45" s="46"/>
      <c r="F45" s="395"/>
      <c r="G45" s="46"/>
      <c r="H45" s="46"/>
      <c r="I45" s="395"/>
      <c r="J45" s="46"/>
      <c r="K45" s="395"/>
      <c r="L45" s="46"/>
      <c r="M45" s="395"/>
      <c r="N45" s="397"/>
      <c r="O45" s="398"/>
      <c r="P45" s="397"/>
    </row>
    <row r="46" spans="1:16" ht="74.25" customHeight="1" x14ac:dyDescent="0.2">
      <c r="A46" s="395"/>
      <c r="B46" s="395"/>
      <c r="C46" s="395"/>
      <c r="D46" s="395"/>
      <c r="E46" s="46"/>
      <c r="F46" s="395"/>
      <c r="G46" s="46"/>
      <c r="H46" s="46"/>
      <c r="I46" s="395"/>
      <c r="J46" s="46"/>
      <c r="K46" s="395"/>
      <c r="L46" s="46"/>
      <c r="M46" s="395"/>
      <c r="N46" s="397"/>
      <c r="O46" s="398"/>
      <c r="P46" s="397"/>
    </row>
    <row r="47" spans="1:16" ht="74.25" customHeight="1" x14ac:dyDescent="0.2">
      <c r="A47" s="395"/>
      <c r="B47" s="395"/>
      <c r="C47" s="395"/>
      <c r="D47" s="395"/>
      <c r="E47" s="46"/>
      <c r="F47" s="395"/>
      <c r="G47" s="46"/>
      <c r="H47" s="46"/>
      <c r="I47" s="395"/>
      <c r="J47" s="46"/>
      <c r="K47" s="395"/>
      <c r="L47" s="46"/>
      <c r="M47" s="395"/>
      <c r="N47" s="397"/>
      <c r="O47" s="398"/>
      <c r="P47" s="397"/>
    </row>
    <row r="48" spans="1:16" ht="74.25" customHeight="1" x14ac:dyDescent="0.2">
      <c r="A48" s="395"/>
      <c r="B48" s="395"/>
      <c r="C48" s="395"/>
      <c r="D48" s="395"/>
      <c r="E48" s="46"/>
      <c r="F48" s="395"/>
      <c r="G48" s="46"/>
      <c r="H48" s="46"/>
      <c r="I48" s="395"/>
      <c r="J48" s="46"/>
      <c r="K48" s="395"/>
      <c r="L48" s="46"/>
      <c r="M48" s="395"/>
      <c r="N48" s="397"/>
      <c r="O48" s="398"/>
      <c r="P48" s="397"/>
    </row>
    <row r="49" spans="1:16" ht="74.25" customHeight="1" x14ac:dyDescent="0.2">
      <c r="A49" s="395"/>
      <c r="B49" s="395"/>
      <c r="C49" s="395"/>
      <c r="D49" s="395"/>
      <c r="E49" s="46"/>
      <c r="F49" s="395"/>
      <c r="G49" s="46"/>
      <c r="H49" s="46"/>
      <c r="I49" s="395"/>
      <c r="J49" s="46"/>
      <c r="K49" s="395"/>
      <c r="L49" s="46"/>
      <c r="M49" s="395"/>
      <c r="N49" s="397"/>
      <c r="O49" s="398"/>
      <c r="P49" s="397"/>
    </row>
    <row r="50" spans="1:16" ht="74.25" customHeight="1" x14ac:dyDescent="0.2">
      <c r="A50" s="395"/>
      <c r="B50" s="395"/>
      <c r="C50" s="395"/>
      <c r="D50" s="395"/>
      <c r="E50" s="46"/>
      <c r="F50" s="395"/>
      <c r="G50" s="46"/>
      <c r="H50" s="46"/>
      <c r="I50" s="395"/>
      <c r="J50" s="46"/>
      <c r="K50" s="395"/>
      <c r="L50" s="46"/>
      <c r="M50" s="395"/>
      <c r="N50" s="397"/>
      <c r="O50" s="398"/>
      <c r="P50" s="397"/>
    </row>
    <row r="51" spans="1:16" ht="74.25" customHeight="1" x14ac:dyDescent="0.2">
      <c r="A51" s="395"/>
      <c r="B51" s="395"/>
      <c r="C51" s="395"/>
      <c r="D51" s="395"/>
      <c r="E51" s="46"/>
      <c r="F51" s="395"/>
      <c r="G51" s="46"/>
      <c r="H51" s="46"/>
      <c r="I51" s="395"/>
      <c r="J51" s="46"/>
      <c r="K51" s="395"/>
      <c r="L51" s="46"/>
      <c r="M51" s="395"/>
      <c r="N51" s="397"/>
      <c r="O51" s="398"/>
      <c r="P51" s="397"/>
    </row>
    <row r="52" spans="1:16" ht="74.25" customHeight="1" x14ac:dyDescent="0.2">
      <c r="A52" s="395"/>
      <c r="B52" s="395"/>
      <c r="C52" s="395"/>
      <c r="D52" s="395"/>
      <c r="E52" s="46"/>
      <c r="F52" s="395"/>
      <c r="G52" s="46"/>
      <c r="H52" s="46"/>
      <c r="I52" s="395"/>
      <c r="J52" s="46"/>
      <c r="K52" s="395"/>
      <c r="L52" s="46"/>
      <c r="M52" s="395"/>
      <c r="N52" s="397"/>
      <c r="O52" s="398"/>
      <c r="P52" s="397"/>
    </row>
    <row r="53" spans="1:16" ht="74.25" customHeight="1" x14ac:dyDescent="0.2">
      <c r="A53" s="395"/>
      <c r="B53" s="395"/>
      <c r="C53" s="395"/>
      <c r="D53" s="395"/>
      <c r="E53" s="46"/>
      <c r="F53" s="395"/>
      <c r="G53" s="46"/>
      <c r="H53" s="46"/>
      <c r="I53" s="395"/>
      <c r="J53" s="46"/>
      <c r="K53" s="395"/>
      <c r="L53" s="46"/>
      <c r="M53" s="395"/>
      <c r="N53" s="397"/>
      <c r="O53" s="398"/>
      <c r="P53" s="397"/>
    </row>
    <row r="54" spans="1:16" ht="74.25" customHeight="1" x14ac:dyDescent="0.2">
      <c r="A54" s="395"/>
      <c r="B54" s="395"/>
      <c r="C54" s="395"/>
      <c r="D54" s="395"/>
      <c r="E54" s="46"/>
      <c r="F54" s="395"/>
      <c r="G54" s="46"/>
      <c r="H54" s="46"/>
      <c r="I54" s="395"/>
      <c r="J54" s="46"/>
      <c r="K54" s="395"/>
      <c r="L54" s="46"/>
      <c r="M54" s="395"/>
      <c r="N54" s="397"/>
      <c r="O54" s="398"/>
      <c r="P54" s="397"/>
    </row>
    <row r="55" spans="1:16" ht="74.25" customHeight="1" x14ac:dyDescent="0.2">
      <c r="A55" s="395"/>
      <c r="B55" s="395"/>
      <c r="C55" s="395"/>
      <c r="D55" s="395"/>
      <c r="E55" s="46"/>
      <c r="F55" s="395"/>
      <c r="G55" s="46"/>
      <c r="H55" s="46"/>
      <c r="I55" s="395"/>
      <c r="J55" s="46"/>
      <c r="K55" s="395"/>
      <c r="L55" s="46"/>
      <c r="M55" s="395"/>
      <c r="N55" s="397"/>
      <c r="O55" s="398"/>
      <c r="P55" s="397"/>
    </row>
    <row r="56" spans="1:16" ht="74.25" customHeight="1" x14ac:dyDescent="0.2">
      <c r="A56" s="395"/>
      <c r="B56" s="395"/>
      <c r="C56" s="395"/>
      <c r="D56" s="395"/>
      <c r="E56" s="46"/>
      <c r="F56" s="395"/>
      <c r="G56" s="46"/>
      <c r="H56" s="46"/>
      <c r="I56" s="395"/>
      <c r="J56" s="46"/>
      <c r="K56" s="395"/>
      <c r="L56" s="46"/>
      <c r="M56" s="395"/>
      <c r="N56" s="397"/>
      <c r="O56" s="398"/>
      <c r="P56" s="397"/>
    </row>
    <row r="57" spans="1:16" ht="74.25" customHeight="1" x14ac:dyDescent="0.2">
      <c r="A57" s="395"/>
      <c r="B57" s="395"/>
      <c r="C57" s="395"/>
      <c r="D57" s="395"/>
      <c r="E57" s="46"/>
      <c r="F57" s="395"/>
      <c r="G57" s="46"/>
      <c r="H57" s="46"/>
      <c r="I57" s="395"/>
      <c r="J57" s="46"/>
      <c r="K57" s="395"/>
      <c r="L57" s="46"/>
      <c r="M57" s="395"/>
      <c r="N57" s="397"/>
      <c r="O57" s="398"/>
      <c r="P57" s="397"/>
    </row>
    <row r="58" spans="1:16" ht="74.25" customHeight="1" x14ac:dyDescent="0.2">
      <c r="A58" s="395"/>
      <c r="B58" s="395"/>
      <c r="C58" s="395"/>
      <c r="D58" s="395"/>
      <c r="E58" s="46"/>
      <c r="F58" s="395"/>
      <c r="G58" s="46"/>
      <c r="H58" s="46"/>
      <c r="I58" s="395"/>
      <c r="J58" s="46"/>
      <c r="K58" s="395"/>
      <c r="L58" s="46"/>
      <c r="M58" s="395"/>
      <c r="N58" s="397"/>
      <c r="O58" s="398"/>
      <c r="P58" s="397"/>
    </row>
    <row r="59" spans="1:16" ht="74.25" customHeight="1" x14ac:dyDescent="0.2">
      <c r="A59" s="395"/>
      <c r="B59" s="395"/>
      <c r="C59" s="395"/>
      <c r="D59" s="395"/>
      <c r="E59" s="46"/>
      <c r="F59" s="395"/>
      <c r="G59" s="46"/>
      <c r="H59" s="46"/>
      <c r="I59" s="395"/>
      <c r="J59" s="46"/>
      <c r="K59" s="395"/>
      <c r="L59" s="46"/>
      <c r="M59" s="395"/>
      <c r="N59" s="397"/>
      <c r="O59" s="398"/>
      <c r="P59" s="397"/>
    </row>
    <row r="60" spans="1:16" ht="74.25" customHeight="1" x14ac:dyDescent="0.2">
      <c r="A60" s="395"/>
      <c r="B60" s="395"/>
      <c r="C60" s="395"/>
      <c r="D60" s="395"/>
      <c r="E60" s="46"/>
      <c r="F60" s="395"/>
      <c r="G60" s="46"/>
      <c r="H60" s="46"/>
      <c r="I60" s="395"/>
      <c r="J60" s="46"/>
      <c r="K60" s="395"/>
      <c r="L60" s="46"/>
      <c r="M60" s="395"/>
      <c r="N60" s="397"/>
      <c r="O60" s="398"/>
      <c r="P60" s="397"/>
    </row>
    <row r="61" spans="1:16" ht="74.25" customHeight="1" x14ac:dyDescent="0.2">
      <c r="A61" s="395"/>
      <c r="B61" s="395"/>
      <c r="C61" s="395"/>
      <c r="D61" s="395"/>
      <c r="E61" s="46"/>
      <c r="F61" s="395"/>
      <c r="G61" s="46"/>
      <c r="H61" s="46"/>
      <c r="I61" s="395"/>
      <c r="J61" s="46"/>
      <c r="K61" s="395"/>
      <c r="L61" s="46"/>
      <c r="M61" s="395"/>
      <c r="N61" s="397"/>
      <c r="O61" s="398"/>
      <c r="P61" s="397"/>
    </row>
    <row r="62" spans="1:16" ht="74.25" customHeight="1" x14ac:dyDescent="0.2">
      <c r="A62" s="395" t="e">
        <f>_xlfn.IFNA(VLOOKUP(Disaggregation_1A!B62,IODissagg,8,FALSE)," ")</f>
        <v>#REF!</v>
      </c>
      <c r="B62" s="395"/>
      <c r="C62" s="395"/>
      <c r="D62" s="395"/>
      <c r="E62" s="46"/>
      <c r="F62" s="395"/>
      <c r="G62" s="46"/>
      <c r="H62" s="46"/>
      <c r="I62" s="395"/>
      <c r="J62" s="46"/>
      <c r="K62" s="395"/>
      <c r="L62" s="46"/>
      <c r="M62" s="395"/>
      <c r="N62" s="397"/>
      <c r="O62" s="398"/>
      <c r="P62" s="399"/>
    </row>
    <row r="63" spans="1:16" ht="57" customHeight="1" x14ac:dyDescent="0.2">
      <c r="A63" s="395" t="e">
        <f>_xlfn.IFNA(VLOOKUP(Disaggregation_1A!B63,IODissagg,8,FALSE)," ")</f>
        <v>#REF!</v>
      </c>
      <c r="B63" s="395"/>
      <c r="C63" s="395"/>
      <c r="D63" s="395"/>
      <c r="E63" s="46"/>
      <c r="F63" s="395"/>
      <c r="G63" s="46"/>
      <c r="H63" s="46"/>
      <c r="I63" s="395"/>
      <c r="J63" s="46"/>
      <c r="K63" s="395"/>
      <c r="L63" s="46"/>
      <c r="M63" s="395"/>
      <c r="N63" s="397"/>
      <c r="O63" s="398"/>
      <c r="P63" s="399"/>
    </row>
    <row r="64" spans="1:16" ht="57" customHeight="1" x14ac:dyDescent="0.2">
      <c r="A64" s="395" t="e">
        <f>_xlfn.IFNA(VLOOKUP(Disaggregation_1A!B64,IODissagg,8,FALSE)," ")</f>
        <v>#REF!</v>
      </c>
      <c r="B64" s="395"/>
      <c r="C64" s="395"/>
      <c r="D64" s="395"/>
      <c r="E64" s="46"/>
      <c r="F64" s="395"/>
      <c r="G64" s="46"/>
      <c r="H64" s="46"/>
      <c r="I64" s="395"/>
      <c r="J64" s="46"/>
      <c r="K64" s="395"/>
      <c r="L64" s="46"/>
      <c r="M64" s="395"/>
      <c r="N64" s="397"/>
      <c r="O64" s="398"/>
      <c r="P64" s="46"/>
    </row>
    <row r="65" spans="1:16" ht="57" customHeight="1" x14ac:dyDescent="0.2">
      <c r="A65" s="395" t="e">
        <f>_xlfn.IFNA(VLOOKUP(Disaggregation_1A!B65,IODissagg,8,FALSE)," ")</f>
        <v>#REF!</v>
      </c>
      <c r="B65" s="395"/>
      <c r="C65" s="395"/>
      <c r="D65" s="395"/>
      <c r="E65" s="46"/>
      <c r="F65" s="395"/>
      <c r="G65" s="46"/>
      <c r="H65" s="46"/>
      <c r="I65" s="395"/>
      <c r="J65" s="46"/>
      <c r="K65" s="395"/>
      <c r="L65" s="46"/>
      <c r="M65" s="395"/>
      <c r="N65" s="397"/>
      <c r="O65" s="398"/>
      <c r="P65" s="46"/>
    </row>
    <row r="66" spans="1:16" ht="57" customHeight="1" x14ac:dyDescent="0.2">
      <c r="A66" s="395" t="e">
        <f>_xlfn.IFNA(VLOOKUP(Disaggregation_1A!B66,IODissagg,8,FALSE)," ")</f>
        <v>#REF!</v>
      </c>
      <c r="B66" s="395"/>
      <c r="C66" s="395"/>
      <c r="D66" s="395"/>
      <c r="E66" s="46"/>
      <c r="F66" s="395"/>
      <c r="G66" s="46"/>
      <c r="H66" s="46"/>
      <c r="I66" s="395"/>
      <c r="J66" s="46"/>
      <c r="K66" s="395"/>
      <c r="L66" s="46"/>
      <c r="M66" s="395"/>
      <c r="N66" s="397"/>
      <c r="O66" s="398"/>
      <c r="P66" s="46"/>
    </row>
    <row r="67" spans="1:16" ht="57" customHeight="1" x14ac:dyDescent="0.2">
      <c r="A67" s="395" t="e">
        <f>_xlfn.IFNA(VLOOKUP(Disaggregation_1A!#REF!,#REF!,5,FALSE)," ")</f>
        <v>#REF!</v>
      </c>
      <c r="B67" s="395"/>
      <c r="C67" s="46"/>
      <c r="D67" s="46"/>
      <c r="E67" s="46"/>
      <c r="F67" s="46"/>
      <c r="G67" s="46"/>
      <c r="H67" s="46"/>
      <c r="I67" s="46"/>
      <c r="J67" s="46"/>
      <c r="K67" s="46"/>
      <c r="N67" s="400"/>
      <c r="O67" s="401"/>
    </row>
    <row r="68" spans="1:16" ht="57" customHeight="1" x14ac:dyDescent="0.2">
      <c r="A68" s="402" t="e">
        <f>_xlfn.IFNA(VLOOKUP(Disaggregation_1A!#REF!,#REF!,5,FALSE)," ")</f>
        <v>#REF!</v>
      </c>
      <c r="B68" s="395"/>
      <c r="C68" s="46"/>
      <c r="D68" s="46"/>
      <c r="E68" s="46"/>
      <c r="F68" s="46"/>
      <c r="G68" s="46"/>
      <c r="H68" s="46"/>
      <c r="I68" s="46"/>
      <c r="J68" s="46"/>
      <c r="K68" s="46"/>
      <c r="N68" s="400"/>
      <c r="O68" s="401"/>
    </row>
    <row r="69" spans="1:16" ht="57" customHeight="1" x14ac:dyDescent="0.2">
      <c r="A69" s="402" t="e">
        <f>_xlfn.IFNA(VLOOKUP(Disaggregation_1A!#REF!,#REF!,5,FALSE)," ")</f>
        <v>#REF!</v>
      </c>
      <c r="B69" s="395"/>
      <c r="C69" s="46"/>
      <c r="D69" s="46"/>
      <c r="E69" s="46"/>
      <c r="F69" s="46"/>
      <c r="G69" s="46"/>
      <c r="H69" s="46"/>
      <c r="I69" s="46"/>
      <c r="J69" s="46"/>
      <c r="K69" s="46"/>
      <c r="N69" s="400"/>
      <c r="O69" s="401"/>
    </row>
    <row r="70" spans="1:16" ht="57" customHeight="1" x14ac:dyDescent="0.2">
      <c r="A70" s="402" t="e">
        <f>_xlfn.IFNA(VLOOKUP(Disaggregation_1A!#REF!,#REF!,5,FALSE)," ")</f>
        <v>#REF!</v>
      </c>
      <c r="B70" s="395"/>
      <c r="C70" s="46"/>
      <c r="D70" s="46"/>
      <c r="E70" s="46"/>
      <c r="F70" s="46"/>
      <c r="G70" s="46"/>
      <c r="H70" s="46"/>
      <c r="I70" s="46"/>
      <c r="J70" s="46"/>
      <c r="K70" s="46"/>
      <c r="N70" s="400"/>
      <c r="O70" s="401"/>
    </row>
    <row r="71" spans="1:16" ht="57" customHeight="1" x14ac:dyDescent="0.2">
      <c r="A71" s="402" t="e">
        <f>_xlfn.IFNA(VLOOKUP(Disaggregation_1A!#REF!,#REF!,5,FALSE)," ")</f>
        <v>#REF!</v>
      </c>
      <c r="B71" s="395"/>
      <c r="C71" s="46"/>
      <c r="D71" s="46"/>
      <c r="E71" s="46"/>
      <c r="F71" s="46"/>
      <c r="G71" s="46"/>
      <c r="H71" s="46"/>
      <c r="I71" s="46"/>
      <c r="J71" s="46"/>
      <c r="K71" s="46"/>
      <c r="O71" s="401"/>
    </row>
    <row r="72" spans="1:16" ht="57" customHeight="1" x14ac:dyDescent="0.2">
      <c r="A72" s="402" t="e">
        <f>_xlfn.IFNA(VLOOKUP(Disaggregation_1A!#REF!,#REF!,5,FALSE)," ")</f>
        <v>#REF!</v>
      </c>
      <c r="B72" s="395"/>
      <c r="C72" s="46"/>
      <c r="D72" s="46"/>
      <c r="E72" s="46"/>
      <c r="F72" s="46"/>
      <c r="G72" s="46"/>
      <c r="H72" s="46"/>
      <c r="I72" s="46"/>
      <c r="J72" s="46"/>
      <c r="K72" s="46"/>
      <c r="O72" s="401"/>
    </row>
    <row r="73" spans="1:16" ht="57" customHeight="1" x14ac:dyDescent="0.2">
      <c r="A73" s="402" t="e">
        <f>_xlfn.IFNA(VLOOKUP(Disaggregation_1A!#REF!,#REF!,5,FALSE)," ")</f>
        <v>#REF!</v>
      </c>
      <c r="B73" s="395"/>
      <c r="C73" s="46"/>
      <c r="D73" s="46"/>
      <c r="E73" s="46"/>
      <c r="F73" s="46"/>
      <c r="G73" s="46"/>
      <c r="H73" s="46"/>
      <c r="I73" s="46"/>
      <c r="J73" s="46"/>
      <c r="K73" s="46"/>
      <c r="O73" s="401"/>
    </row>
    <row r="74" spans="1:16" ht="57" customHeight="1" x14ac:dyDescent="0.2">
      <c r="A74" s="402" t="e">
        <f>_xlfn.IFNA(VLOOKUP(Disaggregation_1A!#REF!,#REF!,5,FALSE)," ")</f>
        <v>#REF!</v>
      </c>
      <c r="B74" s="395"/>
      <c r="C74" s="46"/>
      <c r="D74" s="46"/>
      <c r="E74" s="46"/>
      <c r="F74" s="46"/>
      <c r="G74" s="46"/>
      <c r="H74" s="46"/>
      <c r="I74" s="46"/>
      <c r="J74" s="46"/>
      <c r="K74" s="46"/>
      <c r="O74" s="401"/>
    </row>
    <row r="75" spans="1:16" ht="57" customHeight="1" x14ac:dyDescent="0.2">
      <c r="A75" s="402" t="e">
        <f>_xlfn.IFNA(VLOOKUP(Disaggregation_1A!#REF!,#REF!,5,FALSE)," ")</f>
        <v>#REF!</v>
      </c>
      <c r="B75" s="395"/>
      <c r="C75" s="46"/>
      <c r="D75" s="46"/>
      <c r="E75" s="46"/>
      <c r="F75" s="46"/>
      <c r="G75" s="46"/>
      <c r="H75" s="46"/>
      <c r="I75" s="46"/>
      <c r="J75" s="46"/>
      <c r="K75" s="46"/>
      <c r="O75" s="401"/>
    </row>
    <row r="76" spans="1:16" ht="57" customHeight="1" x14ac:dyDescent="0.2">
      <c r="A76" s="402" t="e">
        <f>_xlfn.IFNA(VLOOKUP(Disaggregation_1A!#REF!,#REF!,5,FALSE)," ")</f>
        <v>#REF!</v>
      </c>
      <c r="B76" s="395"/>
      <c r="C76" s="46"/>
      <c r="D76" s="46"/>
      <c r="E76" s="46"/>
      <c r="F76" s="46"/>
      <c r="G76" s="46"/>
      <c r="H76" s="46"/>
      <c r="I76" s="46"/>
      <c r="J76" s="46"/>
      <c r="K76" s="46"/>
      <c r="O76" s="401"/>
    </row>
    <row r="77" spans="1:16" ht="57" customHeight="1" x14ac:dyDescent="0.2">
      <c r="A77" s="402" t="e">
        <f>_xlfn.IFNA(VLOOKUP(Disaggregation_1A!#REF!,#REF!,5,FALSE)," ")</f>
        <v>#REF!</v>
      </c>
      <c r="B77" s="395"/>
      <c r="C77" s="46"/>
      <c r="D77" s="46"/>
      <c r="E77" s="46"/>
      <c r="F77" s="46"/>
      <c r="G77" s="46"/>
      <c r="H77" s="46"/>
      <c r="I77" s="46"/>
      <c r="J77" s="46"/>
      <c r="K77" s="46"/>
      <c r="O77" s="401"/>
    </row>
    <row r="78" spans="1:16" ht="57" customHeight="1" x14ac:dyDescent="0.2">
      <c r="A78" s="402" t="e">
        <f>_xlfn.IFNA(VLOOKUP(Disaggregation_1A!#REF!,#REF!,5,FALSE)," ")</f>
        <v>#REF!</v>
      </c>
      <c r="B78" s="395"/>
      <c r="C78" s="46"/>
      <c r="D78" s="46"/>
      <c r="E78" s="46"/>
      <c r="F78" s="46"/>
      <c r="G78" s="46"/>
      <c r="H78" s="46"/>
      <c r="I78" s="46"/>
      <c r="J78" s="46"/>
      <c r="K78" s="46"/>
      <c r="O78" s="401"/>
    </row>
    <row r="79" spans="1:16" ht="57" customHeight="1" x14ac:dyDescent="0.2">
      <c r="A79" s="402" t="e">
        <f>_xlfn.IFNA(VLOOKUP(Disaggregation_1A!#REF!,#REF!,5,FALSE)," ")</f>
        <v>#REF!</v>
      </c>
      <c r="B79" s="395"/>
      <c r="C79" s="46"/>
      <c r="D79" s="46"/>
      <c r="E79" s="46"/>
      <c r="F79" s="46"/>
      <c r="G79" s="46"/>
      <c r="H79" s="46"/>
      <c r="I79" s="46"/>
      <c r="J79" s="46"/>
      <c r="K79" s="46"/>
      <c r="O79" s="401"/>
    </row>
    <row r="80" spans="1:16" ht="57" customHeight="1" x14ac:dyDescent="0.2">
      <c r="A80" s="402" t="e">
        <f>_xlfn.IFNA(VLOOKUP(Disaggregation_1A!#REF!,#REF!,5,FALSE)," ")</f>
        <v>#REF!</v>
      </c>
      <c r="B80" s="395"/>
      <c r="C80" s="46"/>
      <c r="D80" s="46"/>
      <c r="E80" s="46"/>
      <c r="F80" s="46"/>
      <c r="G80" s="46"/>
      <c r="H80" s="46"/>
      <c r="I80" s="46"/>
      <c r="J80" s="46"/>
      <c r="K80" s="46"/>
      <c r="O80" s="401"/>
    </row>
    <row r="81" spans="1:15" ht="57" customHeight="1" x14ac:dyDescent="0.2">
      <c r="A81" s="402" t="e">
        <f>_xlfn.IFNA(VLOOKUP(Disaggregation_1A!#REF!,#REF!,5,FALSE)," ")</f>
        <v>#REF!</v>
      </c>
      <c r="B81" s="395"/>
      <c r="C81" s="46"/>
      <c r="D81" s="46"/>
      <c r="E81" s="46"/>
      <c r="F81" s="46"/>
      <c r="G81" s="46"/>
      <c r="H81" s="46"/>
      <c r="I81" s="46"/>
      <c r="J81" s="46"/>
      <c r="K81" s="46"/>
      <c r="O81" s="401"/>
    </row>
    <row r="82" spans="1:15" ht="57" customHeight="1" x14ac:dyDescent="0.2">
      <c r="A82" s="402" t="e">
        <f>_xlfn.IFNA(VLOOKUP(Disaggregation_1A!#REF!,#REF!,5,FALSE)," ")</f>
        <v>#REF!</v>
      </c>
      <c r="B82" s="395"/>
      <c r="C82" s="46"/>
      <c r="D82" s="46"/>
      <c r="E82" s="46"/>
      <c r="F82" s="46"/>
      <c r="G82" s="46"/>
      <c r="H82" s="46"/>
      <c r="I82" s="46"/>
      <c r="J82" s="46"/>
      <c r="K82" s="46"/>
      <c r="O82" s="401"/>
    </row>
    <row r="83" spans="1:15" ht="57" customHeight="1" x14ac:dyDescent="0.2">
      <c r="A83" s="402" t="e">
        <f>_xlfn.IFNA(VLOOKUP(Disaggregation_1A!#REF!,#REF!,5,FALSE)," ")</f>
        <v>#REF!</v>
      </c>
      <c r="B83" s="395"/>
      <c r="C83" s="46"/>
      <c r="D83" s="46"/>
      <c r="E83" s="46"/>
      <c r="F83" s="46"/>
      <c r="G83" s="46"/>
      <c r="H83" s="46"/>
      <c r="I83" s="46"/>
      <c r="J83" s="46"/>
      <c r="K83" s="46"/>
    </row>
    <row r="84" spans="1:15" ht="57" customHeight="1" x14ac:dyDescent="0.2">
      <c r="A84" s="402" t="e">
        <f>_xlfn.IFNA(VLOOKUP(Disaggregation_1A!#REF!,#REF!,5,FALSE)," ")</f>
        <v>#REF!</v>
      </c>
      <c r="B84" s="395"/>
      <c r="C84" s="46"/>
      <c r="D84" s="46"/>
      <c r="E84" s="46"/>
      <c r="F84" s="46"/>
      <c r="G84" s="46"/>
      <c r="H84" s="46"/>
      <c r="I84" s="46"/>
      <c r="J84" s="46"/>
      <c r="K84" s="46"/>
    </row>
    <row r="85" spans="1:15" ht="57" customHeight="1" x14ac:dyDescent="0.2">
      <c r="A85" s="402" t="e">
        <f>_xlfn.IFNA(VLOOKUP(Disaggregation_1A!#REF!,#REF!,5,FALSE)," ")</f>
        <v>#REF!</v>
      </c>
      <c r="B85" s="395"/>
      <c r="C85" s="46"/>
      <c r="D85" s="46"/>
      <c r="E85" s="46"/>
      <c r="F85" s="46"/>
      <c r="G85" s="46"/>
      <c r="H85" s="46"/>
      <c r="I85" s="46"/>
      <c r="J85" s="46"/>
      <c r="K85" s="46"/>
    </row>
    <row r="86" spans="1:15" ht="57" customHeight="1" x14ac:dyDescent="0.2">
      <c r="A86" s="402" t="e">
        <f>_xlfn.IFNA(VLOOKUP(Disaggregation_1A!#REF!,#REF!,5,FALSE)," ")</f>
        <v>#REF!</v>
      </c>
      <c r="B86" s="395"/>
      <c r="C86" s="46"/>
      <c r="D86" s="46"/>
      <c r="E86" s="46"/>
      <c r="F86" s="46"/>
      <c r="G86" s="46"/>
      <c r="H86" s="46"/>
      <c r="I86" s="46"/>
      <c r="J86" s="46"/>
      <c r="K86" s="46"/>
    </row>
    <row r="87" spans="1:15" ht="57" customHeight="1" x14ac:dyDescent="0.2">
      <c r="A87" s="402" t="e">
        <f>_xlfn.IFNA(VLOOKUP(Disaggregation_1A!#REF!,#REF!,5,FALSE)," ")</f>
        <v>#REF!</v>
      </c>
      <c r="B87" s="395"/>
      <c r="C87" s="46"/>
      <c r="D87" s="46"/>
      <c r="E87" s="46"/>
      <c r="F87" s="46"/>
      <c r="G87" s="46"/>
      <c r="H87" s="46"/>
      <c r="I87" s="46"/>
      <c r="J87" s="46"/>
      <c r="K87" s="46"/>
    </row>
    <row r="88" spans="1:15" ht="57" customHeight="1" x14ac:dyDescent="0.2">
      <c r="A88" s="402" t="e">
        <f>_xlfn.IFNA(VLOOKUP(Disaggregation_1A!#REF!,#REF!,5,FALSE)," ")</f>
        <v>#REF!</v>
      </c>
      <c r="B88" s="395"/>
      <c r="C88" s="46"/>
      <c r="D88" s="46"/>
      <c r="E88" s="46"/>
      <c r="F88" s="46"/>
      <c r="G88" s="46"/>
      <c r="H88" s="46"/>
      <c r="I88" s="46"/>
      <c r="J88" s="46"/>
      <c r="K88" s="46"/>
    </row>
    <row r="89" spans="1:15" ht="57" customHeight="1" x14ac:dyDescent="0.2">
      <c r="A89" s="402" t="e">
        <f>_xlfn.IFNA(VLOOKUP(Disaggregation_1A!#REF!,#REF!,5,FALSE)," ")</f>
        <v>#REF!</v>
      </c>
      <c r="B89" s="395"/>
      <c r="C89" s="46"/>
      <c r="D89" s="46"/>
      <c r="E89" s="46"/>
      <c r="F89" s="46"/>
      <c r="G89" s="46"/>
      <c r="H89" s="46"/>
      <c r="I89" s="46"/>
      <c r="J89" s="46"/>
      <c r="K89" s="46"/>
    </row>
    <row r="90" spans="1:15" ht="57" customHeight="1" x14ac:dyDescent="0.2">
      <c r="A90" s="402" t="e">
        <f>_xlfn.IFNA(VLOOKUP(Disaggregation_1A!#REF!,#REF!,5,FALSE)," ")</f>
        <v>#REF!</v>
      </c>
      <c r="B90" s="395"/>
      <c r="C90" s="46"/>
      <c r="D90" s="46"/>
      <c r="E90" s="46"/>
      <c r="F90" s="46"/>
      <c r="G90" s="46"/>
      <c r="H90" s="46"/>
      <c r="I90" s="46"/>
      <c r="J90" s="46"/>
      <c r="K90" s="46"/>
    </row>
    <row r="91" spans="1:15" ht="57" customHeight="1" x14ac:dyDescent="0.2">
      <c r="A91" s="402" t="e">
        <f>_xlfn.IFNA(VLOOKUP(Disaggregation_1A!#REF!,#REF!,5,FALSE)," ")</f>
        <v>#REF!</v>
      </c>
      <c r="B91" s="395"/>
      <c r="C91" s="46"/>
      <c r="D91" s="46"/>
      <c r="E91" s="46"/>
      <c r="F91" s="46"/>
      <c r="G91" s="46"/>
      <c r="H91" s="46"/>
      <c r="I91" s="46"/>
      <c r="J91" s="46"/>
      <c r="K91" s="46"/>
    </row>
    <row r="92" spans="1:15" ht="57" customHeight="1" x14ac:dyDescent="0.2">
      <c r="A92" s="402" t="e">
        <f>_xlfn.IFNA(VLOOKUP(Disaggregation_1A!#REF!,#REF!,5,FALSE)," ")</f>
        <v>#REF!</v>
      </c>
      <c r="B92" s="395"/>
      <c r="C92" s="46"/>
      <c r="D92" s="46"/>
      <c r="E92" s="46"/>
      <c r="F92" s="46"/>
      <c r="G92" s="46"/>
      <c r="H92" s="46"/>
      <c r="I92" s="46"/>
      <c r="J92" s="46"/>
      <c r="K92" s="46"/>
    </row>
    <row r="93" spans="1:15" ht="57" customHeight="1" x14ac:dyDescent="0.2">
      <c r="A93" s="402" t="e">
        <f>_xlfn.IFNA(VLOOKUP(Disaggregation_1A!#REF!,#REF!,5,FALSE)," ")</f>
        <v>#REF!</v>
      </c>
      <c r="B93" s="395"/>
      <c r="C93" s="46"/>
      <c r="D93" s="46"/>
      <c r="E93" s="46"/>
      <c r="F93" s="46"/>
      <c r="G93" s="46"/>
      <c r="H93" s="46"/>
      <c r="I93" s="46"/>
      <c r="J93" s="46"/>
      <c r="K93" s="46"/>
    </row>
    <row r="94" spans="1:15" ht="57" customHeight="1" x14ac:dyDescent="0.2">
      <c r="A94" s="402" t="e">
        <f>_xlfn.IFNA(VLOOKUP(Disaggregation_1A!#REF!,#REF!,5,FALSE)," ")</f>
        <v>#REF!</v>
      </c>
      <c r="B94" s="395"/>
      <c r="C94" s="46"/>
      <c r="D94" s="46"/>
      <c r="E94" s="46"/>
      <c r="F94" s="46"/>
      <c r="G94" s="46"/>
      <c r="H94" s="46"/>
      <c r="I94" s="46"/>
      <c r="J94" s="46"/>
      <c r="K94" s="46"/>
    </row>
    <row r="95" spans="1:15" ht="57" customHeight="1" x14ac:dyDescent="0.2">
      <c r="A95" s="402" t="e">
        <f>_xlfn.IFNA(VLOOKUP(Disaggregation_1A!#REF!,#REF!,5,FALSE)," ")</f>
        <v>#REF!</v>
      </c>
      <c r="B95" s="395"/>
      <c r="C95" s="46"/>
      <c r="D95" s="46"/>
      <c r="E95" s="46"/>
      <c r="F95" s="46"/>
      <c r="G95" s="46"/>
      <c r="H95" s="46"/>
      <c r="I95" s="46"/>
      <c r="J95" s="46"/>
      <c r="K95" s="46"/>
    </row>
    <row r="96" spans="1:15" ht="57" customHeight="1" x14ac:dyDescent="0.2">
      <c r="A96" s="402" t="e">
        <f>_xlfn.IFNA(VLOOKUP(Disaggregation_1A!#REF!,#REF!,5,FALSE)," ")</f>
        <v>#REF!</v>
      </c>
      <c r="B96" s="395"/>
      <c r="C96" s="46"/>
      <c r="D96" s="46"/>
      <c r="E96" s="46"/>
      <c r="F96" s="46"/>
      <c r="G96" s="46"/>
      <c r="H96" s="46"/>
      <c r="I96" s="46"/>
      <c r="J96" s="46"/>
      <c r="K96" s="46"/>
    </row>
    <row r="97" spans="1:11" ht="57" customHeight="1" x14ac:dyDescent="0.2">
      <c r="A97" s="402" t="e">
        <f>_xlfn.IFNA(VLOOKUP(Disaggregation_1A!#REF!,#REF!,5,FALSE)," ")</f>
        <v>#REF!</v>
      </c>
      <c r="B97" s="395"/>
      <c r="C97" s="46"/>
      <c r="D97" s="46"/>
      <c r="E97" s="46"/>
      <c r="F97" s="46"/>
      <c r="G97" s="46"/>
      <c r="H97" s="46"/>
      <c r="I97" s="46"/>
      <c r="J97" s="46"/>
      <c r="K97" s="46"/>
    </row>
    <row r="98" spans="1:11" ht="57" customHeight="1" x14ac:dyDescent="0.2">
      <c r="A98" s="402" t="e">
        <f>_xlfn.IFNA(VLOOKUP(Disaggregation_1A!#REF!,#REF!,5,FALSE)," ")</f>
        <v>#REF!</v>
      </c>
      <c r="B98" s="395"/>
      <c r="C98" s="46"/>
      <c r="D98" s="46"/>
      <c r="E98" s="46"/>
      <c r="F98" s="46"/>
      <c r="G98" s="46"/>
      <c r="H98" s="46"/>
      <c r="I98" s="46"/>
      <c r="J98" s="46"/>
      <c r="K98" s="46"/>
    </row>
    <row r="99" spans="1:11" ht="57" customHeight="1" x14ac:dyDescent="0.2">
      <c r="A99" s="402" t="e">
        <f>_xlfn.IFNA(VLOOKUP(Disaggregation_1A!#REF!,#REF!,5,FALSE)," ")</f>
        <v>#REF!</v>
      </c>
      <c r="B99" s="395"/>
      <c r="C99" s="46"/>
      <c r="D99" s="46"/>
      <c r="E99" s="46"/>
      <c r="F99" s="46"/>
      <c r="G99" s="46"/>
      <c r="H99" s="46"/>
      <c r="I99" s="46"/>
      <c r="J99" s="46"/>
      <c r="K99" s="46"/>
    </row>
    <row r="100" spans="1:11" ht="57" customHeight="1" x14ac:dyDescent="0.2">
      <c r="A100" s="402" t="e">
        <f>_xlfn.IFNA(VLOOKUP(Disaggregation_1A!#REF!,#REF!,5,FALSE)," ")</f>
        <v>#REF!</v>
      </c>
      <c r="B100" s="395"/>
      <c r="C100" s="46"/>
      <c r="D100" s="46"/>
      <c r="E100" s="46"/>
      <c r="F100" s="46"/>
      <c r="G100" s="46"/>
      <c r="H100" s="46"/>
      <c r="I100" s="46"/>
      <c r="J100" s="46"/>
      <c r="K100" s="46"/>
    </row>
    <row r="101" spans="1:11" ht="57" customHeight="1" x14ac:dyDescent="0.2">
      <c r="A101" s="402" t="e">
        <f>_xlfn.IFNA(VLOOKUP(Disaggregation_1A!#REF!,#REF!,5,FALSE)," ")</f>
        <v>#REF!</v>
      </c>
      <c r="B101" s="395"/>
      <c r="C101" s="46"/>
      <c r="D101" s="46"/>
      <c r="E101" s="46"/>
      <c r="F101" s="46"/>
      <c r="G101" s="46"/>
      <c r="H101" s="46"/>
      <c r="I101" s="46"/>
      <c r="J101" s="46"/>
      <c r="K101" s="46"/>
    </row>
    <row r="102" spans="1:11" ht="57" customHeight="1" x14ac:dyDescent="0.2">
      <c r="A102" s="402" t="e">
        <f>_xlfn.IFNA(VLOOKUP(Disaggregation_1A!#REF!,#REF!,5,FALSE)," ")</f>
        <v>#REF!</v>
      </c>
      <c r="B102" s="395"/>
      <c r="C102" s="46"/>
      <c r="D102" s="46"/>
      <c r="E102" s="46"/>
      <c r="F102" s="46"/>
      <c r="G102" s="46"/>
      <c r="H102" s="46"/>
      <c r="I102" s="46"/>
      <c r="J102" s="46"/>
      <c r="K102" s="46"/>
    </row>
    <row r="103" spans="1:11" x14ac:dyDescent="0.2">
      <c r="A103" s="145" t="e">
        <f>_xlfn.IFNA(VLOOKUP(Disaggregation_1A!#REF!,#REF!,5,FALSE)," ")</f>
        <v>#REF!</v>
      </c>
    </row>
    <row r="104" spans="1:11" x14ac:dyDescent="0.2">
      <c r="A104" s="145" t="e">
        <f>_xlfn.IFNA(VLOOKUP(Disaggregation_1A!#REF!,#REF!,5,FALSE)," ")</f>
        <v>#REF!</v>
      </c>
    </row>
    <row r="105" spans="1:11" x14ac:dyDescent="0.2">
      <c r="A105" s="145" t="e">
        <f>_xlfn.IFNA(VLOOKUP(Disaggregation_1A!#REF!,#REF!,5,FALSE)," ")</f>
        <v>#REF!</v>
      </c>
    </row>
    <row r="106" spans="1:11" x14ac:dyDescent="0.2">
      <c r="A106" s="145" t="e">
        <f>_xlfn.IFNA(VLOOKUP(Disaggregation_1A!#REF!,#REF!,5,FALSE)," ")</f>
        <v>#REF!</v>
      </c>
    </row>
    <row r="107" spans="1:11" x14ac:dyDescent="0.2">
      <c r="A107" s="145" t="e">
        <f>_xlfn.IFNA(VLOOKUP(Disaggregation_1A!#REF!,#REF!,5,FALSE)," ")</f>
        <v>#REF!</v>
      </c>
    </row>
    <row r="108" spans="1:11" x14ac:dyDescent="0.2">
      <c r="A108" s="145" t="e">
        <f>_xlfn.IFNA(VLOOKUP(Disaggregation_1A!#REF!,#REF!,5,FALSE)," ")</f>
        <v>#REF!</v>
      </c>
    </row>
    <row r="109" spans="1:11" x14ac:dyDescent="0.2">
      <c r="A109" s="145" t="e">
        <f>_xlfn.IFNA(VLOOKUP(Disaggregation_1A!#REF!,#REF!,5,FALSE)," ")</f>
        <v>#REF!</v>
      </c>
    </row>
    <row r="110" spans="1:11" x14ac:dyDescent="0.2">
      <c r="A110" s="145" t="e">
        <f>_xlfn.IFNA(VLOOKUP(Disaggregation_1A!#REF!,#REF!,5,FALSE)," ")</f>
        <v>#REF!</v>
      </c>
    </row>
    <row r="111" spans="1:11" x14ac:dyDescent="0.2">
      <c r="A111" s="145" t="e">
        <f>_xlfn.IFNA(VLOOKUP(Disaggregation_1A!#REF!,#REF!,5,FALSE)," ")</f>
        <v>#REF!</v>
      </c>
    </row>
    <row r="112" spans="1:11" x14ac:dyDescent="0.2">
      <c r="A112" s="145" t="e">
        <f>_xlfn.IFNA(VLOOKUP(Disaggregation_1A!#REF!,#REF!,5,FALSE)," ")</f>
        <v>#REF!</v>
      </c>
    </row>
    <row r="113" spans="1:1" x14ac:dyDescent="0.2">
      <c r="A113" s="145" t="e">
        <f>_xlfn.IFNA(VLOOKUP(Disaggregation_1A!#REF!,#REF!,5,FALSE)," ")</f>
        <v>#REF!</v>
      </c>
    </row>
    <row r="114" spans="1:1" x14ac:dyDescent="0.2">
      <c r="A114" s="145" t="e">
        <f>_xlfn.IFNA(VLOOKUP(Disaggregation_1A!#REF!,#REF!,5,FALSE)," ")</f>
        <v>#REF!</v>
      </c>
    </row>
    <row r="115" spans="1:1" x14ac:dyDescent="0.2">
      <c r="A115" s="145" t="e">
        <f>_xlfn.IFNA(VLOOKUP(Disaggregation_1A!#REF!,#REF!,5,FALSE)," ")</f>
        <v>#REF!</v>
      </c>
    </row>
    <row r="116" spans="1:1" x14ac:dyDescent="0.2">
      <c r="A116" s="145" t="e">
        <f>_xlfn.IFNA(VLOOKUP(Disaggregation_1A!#REF!,#REF!,5,FALSE)," ")</f>
        <v>#REF!</v>
      </c>
    </row>
    <row r="117" spans="1:1" x14ac:dyDescent="0.2">
      <c r="A117" s="145" t="e">
        <f>_xlfn.IFNA(VLOOKUP(Disaggregation_1A!#REF!,#REF!,5,FALSE)," ")</f>
        <v>#REF!</v>
      </c>
    </row>
    <row r="118" spans="1:1" x14ac:dyDescent="0.2">
      <c r="A118" s="145" t="e">
        <f>_xlfn.IFNA(VLOOKUP(Disaggregation_1A!#REF!,#REF!,5,FALSE)," ")</f>
        <v>#REF!</v>
      </c>
    </row>
    <row r="119" spans="1:1" x14ac:dyDescent="0.2">
      <c r="A119" s="145" t="e">
        <f>_xlfn.IFNA(VLOOKUP(Disaggregation_1A!#REF!,#REF!,5,FALSE)," ")</f>
        <v>#REF!</v>
      </c>
    </row>
    <row r="120" spans="1:1" x14ac:dyDescent="0.2">
      <c r="A120" s="145" t="e">
        <f>_xlfn.IFNA(VLOOKUP(Disaggregation_1A!#REF!,#REF!,5,FALSE)," ")</f>
        <v>#REF!</v>
      </c>
    </row>
    <row r="121" spans="1:1" x14ac:dyDescent="0.2">
      <c r="A121" s="145" t="e">
        <f>_xlfn.IFNA(VLOOKUP(Disaggregation_1A!#REF!,#REF!,5,FALSE)," ")</f>
        <v>#REF!</v>
      </c>
    </row>
    <row r="122" spans="1:1" x14ac:dyDescent="0.2">
      <c r="A122" s="145" t="e">
        <f>_xlfn.IFNA(VLOOKUP(Disaggregation_1A!#REF!,#REF!,5,FALSE)," ")</f>
        <v>#REF!</v>
      </c>
    </row>
    <row r="123" spans="1:1" x14ac:dyDescent="0.2">
      <c r="A123" s="145" t="e">
        <f>_xlfn.IFNA(VLOOKUP(Disaggregation_1A!#REF!,#REF!,5,FALSE)," ")</f>
        <v>#REF!</v>
      </c>
    </row>
    <row r="124" spans="1:1" x14ac:dyDescent="0.2">
      <c r="A124" s="145" t="e">
        <f>_xlfn.IFNA(VLOOKUP(Disaggregation_1A!#REF!,#REF!,5,FALSE)," ")</f>
        <v>#REF!</v>
      </c>
    </row>
    <row r="125" spans="1:1" x14ac:dyDescent="0.2">
      <c r="A125" s="145" t="e">
        <f>_xlfn.IFNA(VLOOKUP(Disaggregation_1A!#REF!,#REF!,5,FALSE)," ")</f>
        <v>#REF!</v>
      </c>
    </row>
    <row r="126" spans="1:1" x14ac:dyDescent="0.2">
      <c r="A126" s="145" t="e">
        <f>_xlfn.IFNA(VLOOKUP(Disaggregation_1A!#REF!,#REF!,5,FALSE)," ")</f>
        <v>#REF!</v>
      </c>
    </row>
    <row r="127" spans="1:1" x14ac:dyDescent="0.2">
      <c r="A127" s="145" t="e">
        <f>_xlfn.IFNA(VLOOKUP(Disaggregation_1A!#REF!,#REF!,5,FALSE)," ")</f>
        <v>#REF!</v>
      </c>
    </row>
    <row r="128" spans="1:1" x14ac:dyDescent="0.2">
      <c r="A128" s="145" t="e">
        <f>_xlfn.IFNA(VLOOKUP(Disaggregation_1A!#REF!,#REF!,5,FALSE)," ")</f>
        <v>#REF!</v>
      </c>
    </row>
    <row r="129" spans="1:1" x14ac:dyDescent="0.2">
      <c r="A129" s="145" t="e">
        <f>_xlfn.IFNA(VLOOKUP(Disaggregation_1A!#REF!,#REF!,5,FALSE)," ")</f>
        <v>#REF!</v>
      </c>
    </row>
    <row r="130" spans="1:1" x14ac:dyDescent="0.2">
      <c r="A130" s="145" t="e">
        <f>_xlfn.IFNA(VLOOKUP(Disaggregation_1A!#REF!,#REF!,5,FALSE)," ")</f>
        <v>#REF!</v>
      </c>
    </row>
    <row r="131" spans="1:1" x14ac:dyDescent="0.2">
      <c r="A131" s="145" t="e">
        <f>_xlfn.IFNA(VLOOKUP(Disaggregation_1A!#REF!,#REF!,5,FALSE)," ")</f>
        <v>#REF!</v>
      </c>
    </row>
    <row r="132" spans="1:1" x14ac:dyDescent="0.2">
      <c r="A132" s="145" t="e">
        <f>_xlfn.IFNA(VLOOKUP(Disaggregation_1A!#REF!,#REF!,5,FALSE)," ")</f>
        <v>#REF!</v>
      </c>
    </row>
    <row r="133" spans="1:1" x14ac:dyDescent="0.2">
      <c r="A133" s="145" t="e">
        <f>_xlfn.IFNA(VLOOKUP(Disaggregation_1A!#REF!,#REF!,5,FALSE)," ")</f>
        <v>#REF!</v>
      </c>
    </row>
    <row r="134" spans="1:1" x14ac:dyDescent="0.2">
      <c r="A134" s="145" t="e">
        <f>_xlfn.IFNA(VLOOKUP(Disaggregation_1A!#REF!,#REF!,5,FALSE)," ")</f>
        <v>#REF!</v>
      </c>
    </row>
    <row r="135" spans="1:1" x14ac:dyDescent="0.2">
      <c r="A135" s="145" t="e">
        <f>_xlfn.IFNA(VLOOKUP(Disaggregation_1A!#REF!,#REF!,5,FALSE)," ")</f>
        <v>#REF!</v>
      </c>
    </row>
    <row r="136" spans="1:1" x14ac:dyDescent="0.2">
      <c r="A136" s="145" t="e">
        <f>_xlfn.IFNA(VLOOKUP(Disaggregation_1A!#REF!,#REF!,5,FALSE)," ")</f>
        <v>#REF!</v>
      </c>
    </row>
    <row r="137" spans="1:1" x14ac:dyDescent="0.2">
      <c r="A137" s="145" t="e">
        <f>_xlfn.IFNA(VLOOKUP(Disaggregation_1A!#REF!,#REF!,5,FALSE)," ")</f>
        <v>#REF!</v>
      </c>
    </row>
    <row r="138" spans="1:1" x14ac:dyDescent="0.2">
      <c r="A138" s="145" t="e">
        <f>_xlfn.IFNA(VLOOKUP(Disaggregation_1A!#REF!,#REF!,5,FALSE)," ")</f>
        <v>#REF!</v>
      </c>
    </row>
    <row r="139" spans="1:1" x14ac:dyDescent="0.2">
      <c r="A139" s="145" t="e">
        <f>_xlfn.IFNA(VLOOKUP(Disaggregation_1A!#REF!,#REF!,5,FALSE)," ")</f>
        <v>#REF!</v>
      </c>
    </row>
    <row r="140" spans="1:1" x14ac:dyDescent="0.2">
      <c r="A140" s="145" t="e">
        <f>_xlfn.IFNA(VLOOKUP(Disaggregation_1A!#REF!,#REF!,5,FALSE)," ")</f>
        <v>#REF!</v>
      </c>
    </row>
    <row r="141" spans="1:1" x14ac:dyDescent="0.2">
      <c r="A141" s="145" t="e">
        <f>_xlfn.IFNA(VLOOKUP(Disaggregation_1A!#REF!,#REF!,5,FALSE)," ")</f>
        <v>#REF!</v>
      </c>
    </row>
    <row r="142" spans="1:1" x14ac:dyDescent="0.2">
      <c r="A142" s="145" t="e">
        <f>_xlfn.IFNA(VLOOKUP(Disaggregation_1A!#REF!,#REF!,5,FALSE)," ")</f>
        <v>#REF!</v>
      </c>
    </row>
    <row r="143" spans="1:1" x14ac:dyDescent="0.2">
      <c r="A143" s="145" t="e">
        <f>_xlfn.IFNA(VLOOKUP(Disaggregation_1A!#REF!,#REF!,5,FALSE)," ")</f>
        <v>#REF!</v>
      </c>
    </row>
    <row r="144" spans="1:1" x14ac:dyDescent="0.2">
      <c r="A144" s="145" t="e">
        <f>_xlfn.IFNA(VLOOKUP(Disaggregation_1A!#REF!,#REF!,5,FALSE)," ")</f>
        <v>#REF!</v>
      </c>
    </row>
    <row r="145" spans="1:1" x14ac:dyDescent="0.2">
      <c r="A145" s="145" t="e">
        <f>_xlfn.IFNA(VLOOKUP(Disaggregation_1A!#REF!,#REF!,5,FALSE)," ")</f>
        <v>#REF!</v>
      </c>
    </row>
    <row r="146" spans="1:1" x14ac:dyDescent="0.2">
      <c r="A146" s="145" t="e">
        <f>_xlfn.IFNA(VLOOKUP(Disaggregation_1A!#REF!,#REF!,5,FALSE)," ")</f>
        <v>#REF!</v>
      </c>
    </row>
    <row r="147" spans="1:1" x14ac:dyDescent="0.2">
      <c r="A147" s="145" t="e">
        <f>_xlfn.IFNA(VLOOKUP(Disaggregation_1A!#REF!,#REF!,5,FALSE)," ")</f>
        <v>#REF!</v>
      </c>
    </row>
    <row r="148" spans="1:1" x14ac:dyDescent="0.2">
      <c r="A148" s="145" t="e">
        <f>_xlfn.IFNA(VLOOKUP(Disaggregation_1A!#REF!,#REF!,5,FALSE)," ")</f>
        <v>#REF!</v>
      </c>
    </row>
    <row r="149" spans="1:1" x14ac:dyDescent="0.2">
      <c r="A149" s="145" t="e">
        <f>_xlfn.IFNA(VLOOKUP(Disaggregation_1A!#REF!,#REF!,5,FALSE)," ")</f>
        <v>#REF!</v>
      </c>
    </row>
    <row r="150" spans="1:1" x14ac:dyDescent="0.2">
      <c r="A150" s="145" t="e">
        <f>_xlfn.IFNA(VLOOKUP(Disaggregation_1A!#REF!,#REF!,5,FALSE)," ")</f>
        <v>#REF!</v>
      </c>
    </row>
    <row r="151" spans="1:1" x14ac:dyDescent="0.2">
      <c r="A151" s="145" t="e">
        <f>_xlfn.IFNA(VLOOKUP(Disaggregation_1A!#REF!,#REF!,5,FALSE)," ")</f>
        <v>#REF!</v>
      </c>
    </row>
    <row r="152" spans="1:1" x14ac:dyDescent="0.2">
      <c r="A152" s="145" t="e">
        <f>_xlfn.IFNA(VLOOKUP(Disaggregation_1A!#REF!,#REF!,5,FALSE)," ")</f>
        <v>#REF!</v>
      </c>
    </row>
    <row r="153" spans="1:1" x14ac:dyDescent="0.2">
      <c r="A153" s="145" t="e">
        <f>_xlfn.IFNA(VLOOKUP(Disaggregation_1A!#REF!,#REF!,5,FALSE)," ")</f>
        <v>#REF!</v>
      </c>
    </row>
    <row r="154" spans="1:1" x14ac:dyDescent="0.2">
      <c r="A154" s="145" t="e">
        <f>_xlfn.IFNA(VLOOKUP(Disaggregation_1A!#REF!,#REF!,5,FALSE)," ")</f>
        <v>#REF!</v>
      </c>
    </row>
    <row r="155" spans="1:1" x14ac:dyDescent="0.2">
      <c r="A155" s="145" t="e">
        <f>_xlfn.IFNA(VLOOKUP(Disaggregation_1A!#REF!,#REF!,5,FALSE)," ")</f>
        <v>#REF!</v>
      </c>
    </row>
    <row r="156" spans="1:1" x14ac:dyDescent="0.2">
      <c r="A156" s="145" t="e">
        <f>_xlfn.IFNA(VLOOKUP(Disaggregation_1A!#REF!,#REF!,5,FALSE)," ")</f>
        <v>#REF!</v>
      </c>
    </row>
    <row r="157" spans="1:1" x14ac:dyDescent="0.2">
      <c r="A157" s="145" t="e">
        <f>_xlfn.IFNA(VLOOKUP(Disaggregation_1A!#REF!,#REF!,5,FALSE)," ")</f>
        <v>#REF!</v>
      </c>
    </row>
    <row r="158" spans="1:1" x14ac:dyDescent="0.2">
      <c r="A158" s="145" t="e">
        <f>_xlfn.IFNA(VLOOKUP(Disaggregation_1A!#REF!,#REF!,5,FALSE)," ")</f>
        <v>#REF!</v>
      </c>
    </row>
    <row r="159" spans="1:1" x14ac:dyDescent="0.2">
      <c r="A159" s="145" t="e">
        <f>_xlfn.IFNA(VLOOKUP(Disaggregation_1A!#REF!,#REF!,5,FALSE)," ")</f>
        <v>#REF!</v>
      </c>
    </row>
    <row r="160" spans="1:1" x14ac:dyDescent="0.2">
      <c r="A160" s="145" t="e">
        <f>_xlfn.IFNA(VLOOKUP(Disaggregation_1A!#REF!,#REF!,5,FALSE)," ")</f>
        <v>#REF!</v>
      </c>
    </row>
    <row r="161" spans="1:1" x14ac:dyDescent="0.2">
      <c r="A161" s="145" t="e">
        <f>_xlfn.IFNA(VLOOKUP(Disaggregation_1A!#REF!,#REF!,5,FALSE)," ")</f>
        <v>#REF!</v>
      </c>
    </row>
    <row r="162" spans="1:1" x14ac:dyDescent="0.2">
      <c r="A162" s="145" t="e">
        <f>_xlfn.IFNA(VLOOKUP(Disaggregation_1A!#REF!,#REF!,5,FALSE)," ")</f>
        <v>#REF!</v>
      </c>
    </row>
    <row r="163" spans="1:1" x14ac:dyDescent="0.2">
      <c r="A163" s="145" t="e">
        <f>_xlfn.IFNA(VLOOKUP(Disaggregation_1A!#REF!,#REF!,5,FALSE)," ")</f>
        <v>#REF!</v>
      </c>
    </row>
    <row r="164" spans="1:1" x14ac:dyDescent="0.2">
      <c r="A164" s="145" t="e">
        <f>_xlfn.IFNA(VLOOKUP(Disaggregation_1A!#REF!,#REF!,5,FALSE)," ")</f>
        <v>#REF!</v>
      </c>
    </row>
    <row r="165" spans="1:1" x14ac:dyDescent="0.2">
      <c r="A165" s="145" t="e">
        <f>_xlfn.IFNA(VLOOKUP(Disaggregation_1A!#REF!,#REF!,5,FALSE)," ")</f>
        <v>#REF!</v>
      </c>
    </row>
    <row r="166" spans="1:1" x14ac:dyDescent="0.2">
      <c r="A166" s="145" t="e">
        <f>_xlfn.IFNA(VLOOKUP(Disaggregation_1A!#REF!,#REF!,5,FALSE)," ")</f>
        <v>#REF!</v>
      </c>
    </row>
    <row r="167" spans="1:1" x14ac:dyDescent="0.2">
      <c r="A167" s="145" t="e">
        <f>_xlfn.IFNA(VLOOKUP(Disaggregation_1A!#REF!,#REF!,5,FALSE)," ")</f>
        <v>#REF!</v>
      </c>
    </row>
    <row r="168" spans="1:1" x14ac:dyDescent="0.2">
      <c r="A168" s="145" t="e">
        <f>_xlfn.IFNA(VLOOKUP(Disaggregation_1A!#REF!,#REF!,5,FALSE)," ")</f>
        <v>#REF!</v>
      </c>
    </row>
    <row r="169" spans="1:1" x14ac:dyDescent="0.2">
      <c r="A169" s="145" t="e">
        <f>_xlfn.IFNA(VLOOKUP(Disaggregation_1A!#REF!,#REF!,5,FALSE)," ")</f>
        <v>#REF!</v>
      </c>
    </row>
    <row r="170" spans="1:1" x14ac:dyDescent="0.2">
      <c r="A170" s="145" t="e">
        <f>_xlfn.IFNA(VLOOKUP(Disaggregation_1A!#REF!,#REF!,5,FALSE)," ")</f>
        <v>#REF!</v>
      </c>
    </row>
    <row r="171" spans="1:1" x14ac:dyDescent="0.2">
      <c r="A171" s="145" t="e">
        <f>_xlfn.IFNA(VLOOKUP(Disaggregation_1A!#REF!,#REF!,5,FALSE)," ")</f>
        <v>#REF!</v>
      </c>
    </row>
    <row r="172" spans="1:1" x14ac:dyDescent="0.2">
      <c r="A172" s="145" t="e">
        <f>_xlfn.IFNA(VLOOKUP(Disaggregation_1A!#REF!,#REF!,5,FALSE)," ")</f>
        <v>#REF!</v>
      </c>
    </row>
    <row r="173" spans="1:1" x14ac:dyDescent="0.2">
      <c r="A173" s="145" t="e">
        <f>_xlfn.IFNA(VLOOKUP(Disaggregation_1A!#REF!,#REF!,5,FALSE)," ")</f>
        <v>#REF!</v>
      </c>
    </row>
    <row r="174" spans="1:1" x14ac:dyDescent="0.2">
      <c r="A174" s="145" t="e">
        <f>_xlfn.IFNA(VLOOKUP(Disaggregation_1A!#REF!,#REF!,5,FALSE)," ")</f>
        <v>#REF!</v>
      </c>
    </row>
    <row r="175" spans="1:1" x14ac:dyDescent="0.2">
      <c r="A175" s="145" t="e">
        <f>_xlfn.IFNA(VLOOKUP(Disaggregation_1A!#REF!,#REF!,5,FALSE)," ")</f>
        <v>#REF!</v>
      </c>
    </row>
    <row r="176" spans="1:1" x14ac:dyDescent="0.2">
      <c r="A176" s="145" t="e">
        <f>_xlfn.IFNA(VLOOKUP(Disaggregation_1A!#REF!,#REF!,5,FALSE)," ")</f>
        <v>#REF!</v>
      </c>
    </row>
    <row r="177" spans="1:1" x14ac:dyDescent="0.2">
      <c r="A177" s="145" t="e">
        <f>_xlfn.IFNA(VLOOKUP(Disaggregation_1A!#REF!,#REF!,5,FALSE)," ")</f>
        <v>#REF!</v>
      </c>
    </row>
    <row r="178" spans="1:1" x14ac:dyDescent="0.2">
      <c r="A178" s="145" t="e">
        <f>_xlfn.IFNA(VLOOKUP(Disaggregation_1A!#REF!,#REF!,5,FALSE)," ")</f>
        <v>#REF!</v>
      </c>
    </row>
    <row r="179" spans="1:1" x14ac:dyDescent="0.2">
      <c r="A179" s="145" t="e">
        <f>_xlfn.IFNA(VLOOKUP(Disaggregation_1A!#REF!,#REF!,5,FALSE)," ")</f>
        <v>#REF!</v>
      </c>
    </row>
    <row r="180" spans="1:1" x14ac:dyDescent="0.2">
      <c r="A180" s="145" t="e">
        <f>_xlfn.IFNA(VLOOKUP(Disaggregation_1A!#REF!,#REF!,5,FALSE)," ")</f>
        <v>#REF!</v>
      </c>
    </row>
    <row r="181" spans="1:1" x14ac:dyDescent="0.2">
      <c r="A181" s="145" t="e">
        <f>_xlfn.IFNA(VLOOKUP(Disaggregation_1A!#REF!,#REF!,5,FALSE)," ")</f>
        <v>#REF!</v>
      </c>
    </row>
    <row r="182" spans="1:1" x14ac:dyDescent="0.2">
      <c r="A182" s="145" t="e">
        <f>_xlfn.IFNA(VLOOKUP(Disaggregation_1A!#REF!,#REF!,5,FALSE)," ")</f>
        <v>#REF!</v>
      </c>
    </row>
    <row r="183" spans="1:1" x14ac:dyDescent="0.2">
      <c r="A183" s="145" t="e">
        <f>_xlfn.IFNA(VLOOKUP(Disaggregation_1A!#REF!,#REF!,5,FALSE)," ")</f>
        <v>#REF!</v>
      </c>
    </row>
    <row r="184" spans="1:1" x14ac:dyDescent="0.2">
      <c r="A184" s="145" t="e">
        <f>_xlfn.IFNA(VLOOKUP(Disaggregation_1A!#REF!,#REF!,5,FALSE)," ")</f>
        <v>#REF!</v>
      </c>
    </row>
    <row r="185" spans="1:1" x14ac:dyDescent="0.2">
      <c r="A185" s="145" t="e">
        <f>_xlfn.IFNA(VLOOKUP(Disaggregation_1A!#REF!,#REF!,5,FALSE)," ")</f>
        <v>#REF!</v>
      </c>
    </row>
    <row r="186" spans="1:1" x14ac:dyDescent="0.2">
      <c r="A186" s="145" t="e">
        <f>_xlfn.IFNA(VLOOKUP(Disaggregation_1A!#REF!,#REF!,5,FALSE)," ")</f>
        <v>#REF!</v>
      </c>
    </row>
  </sheetData>
  <sheetProtection algorithmName="SHA-512" hashValue="8uFKq6ie5MOrmGqBSUynS0utK5Lez37zRwmcWeft/FuXMuq8thrb11NIdUz4/bhYt7oGsEDBlTuyamG6sv20EQ==" saltValue="uNxZK0nvS9QPFBWtmQrKJQ==" spinCount="100000" sheet="1" objects="1" scenarios="1" formatColumns="0" formatRows="0" sort="0" autoFilter="0"/>
  <autoFilter ref="A8:Q11">
    <filterColumn colId="0" showButton="0"/>
    <filterColumn colId="1" showButton="0"/>
    <filterColumn colId="2" showButton="0"/>
    <filterColumn colId="3" showButton="0"/>
    <filterColumn colId="4" showButton="0"/>
    <filterColumn colId="5" showButton="0"/>
    <filterColumn colId="6" showButton="0"/>
    <filterColumn colId="7" showButton="0"/>
    <filterColumn colId="8" showButton="0"/>
    <filterColumn colId="9" showButton="0"/>
    <filterColumn colId="10" showButton="0"/>
    <filterColumn colId="11" showButton="0"/>
    <filterColumn colId="12" showButton="0"/>
  </autoFilter>
  <dataConsolidate/>
  <mergeCells count="17">
    <mergeCell ref="D5:D6"/>
    <mergeCell ref="N14:N15"/>
    <mergeCell ref="A8:N8"/>
    <mergeCell ref="N5:N6"/>
    <mergeCell ref="P5:P6"/>
    <mergeCell ref="O4:P4"/>
    <mergeCell ref="O5:O6"/>
    <mergeCell ref="L4:N4"/>
    <mergeCell ref="L5:M5"/>
    <mergeCell ref="I5:J5"/>
    <mergeCell ref="A4:K4"/>
    <mergeCell ref="A5:A6"/>
    <mergeCell ref="B5:B6"/>
    <mergeCell ref="C5:C6"/>
    <mergeCell ref="E5:G5"/>
    <mergeCell ref="K5:K6"/>
    <mergeCell ref="H5:H6"/>
  </mergeCells>
  <dataValidations count="10">
    <dataValidation type="list" allowBlank="1" showInputMessage="1" showErrorMessage="1" sqref="B62:B225">
      <formula1>ImpOutIndicatorChoice</formula1>
    </dataValidation>
    <dataValidation type="list" allowBlank="1" showInputMessage="1" showErrorMessage="1" sqref="C62:C156 D62:D207">
      <formula1>INDIRECT(#REF!)</formula1>
    </dataValidation>
    <dataValidation allowBlank="1" showInputMessage="1" showErrorMessage="1" prompt="If you select &quot;Other - specify&quot; please enter the category in the Comments column" sqref="D5:D6"/>
    <dataValidation type="list" allowBlank="1" showInputMessage="1" showErrorMessage="1" sqref="G62:H62 M62 J62">
      <formula1>#REF!</formula1>
    </dataValidation>
    <dataValidation type="list" allowBlank="1" showInputMessage="1" showErrorMessage="1" errorTitle="X-Author for Excel" error="Please select a value from the drop-down." promptTitle="X-Author for Excel" sqref="F9:F11">
      <formula1>IF(IFERROR(ROWS(INDIRECT(SUBSTITUTE("AIM_Outcome_Disaggregation__c.AIM_Baseline_Year__c"," ","_"))),-1) &lt; 0, XAuthorInvalidPicklistData,INDIRECT(SUBSTITUTE("AIM_Outcome_Disaggregation__c.AIM_Baseline_Year__c"," ","_")))</formula1>
    </dataValidation>
    <dataValidation type="decimal" allowBlank="1" showInputMessage="1" showErrorMessage="1" errorTitle="X-Author for Excel" error="Please enter a valid numeric value. Valid range for Result Value (PR) is -9999999999 to 9999999999." promptTitle="X-Author for Excel" sqref="I9:I11">
      <formula1>-9999999999</formula1>
      <formula2>9999999999</formula2>
    </dataValidation>
    <dataValidation type="list" allowBlank="1" showInputMessage="1" showErrorMessage="1" errorTitle="X-Author for Excel" error="Please select a value from the drop-down." promptTitle="X-Author for Excel" sqref="J9:J11">
      <formula1>IF(IFERROR(ROWS(INDIRECT(SUBSTITUTE("AIM_Outcome_Disaggregation_Results__c.AIM_Result_Source_PR__c"," ","_"))),-1) &lt; 0, XAuthorInvalidPicklistData,INDIRECT(SUBSTITUTE("AIM_Outcome_Disaggregation_Results__c.AIM_Result_Source_PR__c"," ","_")))</formula1>
    </dataValidation>
    <dataValidation type="decimal" allowBlank="1" showInputMessage="1" showErrorMessage="1" errorTitle="X-Author for Excel" error="Please enter a valid numeric value. Valid range for Verified Result Value (LFA) is -9999999999 to 9999999999." promptTitle="X-Author for Excel" sqref="L9:L11">
      <formula1>-9999999999</formula1>
      <formula2>9999999999</formula2>
    </dataValidation>
    <dataValidation type="list" allowBlank="1" showInputMessage="1" showErrorMessage="1" errorTitle="X-Author for Excel" error="Please select a value from the drop-down." promptTitle="X-Author for Excel" sqref="M9:M11">
      <formula1>IF(IFERROR(ROWS(INDIRECT(SUBSTITUTE("AIM_Outcome_Disaggregation_Results__c.AIM_Verified_Result_Source_LFA__c"," ","_"))),-1) &lt; 0, XAuthorInvalidPicklistData,INDIRECT(SUBSTITUTE("AIM_Outcome_Disaggregation_Results__c.AIM_Verified_Result_Source_LFA__c"," ","_")))</formula1>
    </dataValidation>
    <dataValidation type="custom" allowBlank="1" showInputMessage="1" showErrorMessage="1" errorTitle="X-Author for Excel" error="Id and Lookup fields are not editable." promptTitle="X-Author for Excel" sqref="Q9:Q11">
      <formula1>""</formula1>
    </dataValidation>
  </dataValidations>
  <printOptions horizontalCentered="1" verticalCentered="1"/>
  <pageMargins left="0.23622047244094491" right="0.23622047244094491" top="0.74803149606299213" bottom="0.74803149606299213" header="0.31496062992125984" footer="0.31496062992125984"/>
  <pageSetup paperSize="9" scale="24" orientation="landscape" r:id="rId1"/>
  <headerFooter>
    <oddFooter>&amp;L&amp;A&amp;R&amp;P</oddFooter>
  </headerFooter>
  <rowBreaks count="2" manualBreakCount="2">
    <brk id="16" max="20" man="1"/>
    <brk id="26" max="20" man="1"/>
  </rowBreaks>
  <colBreaks count="1" manualBreakCount="1">
    <brk id="14"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9">
    <tabColor rgb="FF00FF00"/>
  </sheetPr>
  <dimension ref="A1:AM31"/>
  <sheetViews>
    <sheetView showGridLines="0" view="pageBreakPreview" topLeftCell="B5" zoomScale="70" zoomScaleNormal="70" zoomScaleSheetLayoutView="70" workbookViewId="0">
      <selection activeCell="N15" sqref="N15"/>
    </sheetView>
  </sheetViews>
  <sheetFormatPr defaultColWidth="9.140625" defaultRowHeight="12.75" x14ac:dyDescent="0.2"/>
  <cols>
    <col min="1" max="1" width="37.85546875" style="8" customWidth="1"/>
    <col min="2" max="2" width="43.85546875" style="8" customWidth="1"/>
    <col min="3" max="3" width="25.5703125" style="8" customWidth="1"/>
    <col min="4" max="4" width="26.140625" style="8" customWidth="1"/>
    <col min="5" max="5" width="15.140625" style="8" customWidth="1"/>
    <col min="6" max="13" width="13" style="8" customWidth="1"/>
    <col min="14" max="14" width="17.5703125" style="8" customWidth="1"/>
    <col min="15" max="16" width="18.5703125" style="8" customWidth="1"/>
    <col min="17" max="17" width="18.140625" style="8" customWidth="1"/>
    <col min="18" max="18" width="13" style="373" customWidth="1"/>
    <col min="19" max="19" width="63.42578125" style="8" customWidth="1"/>
    <col min="20" max="22" width="13.5703125" style="8" customWidth="1"/>
    <col min="23" max="23" width="20.42578125" style="8" customWidth="1"/>
    <col min="24" max="24" width="12.85546875" style="373" customWidth="1"/>
    <col min="25" max="25" width="14.140625" style="8" customWidth="1"/>
    <col min="26" max="26" width="68.5703125" style="8" customWidth="1"/>
    <col min="27" max="29" width="14.140625" style="8" hidden="1" customWidth="1"/>
    <col min="30" max="30" width="12.85546875" style="373" hidden="1" customWidth="1"/>
    <col min="31" max="33" width="13.140625" style="8" hidden="1" customWidth="1"/>
    <col min="34" max="35" width="9.140625" style="8" hidden="1" customWidth="1"/>
    <col min="36" max="36" width="9.140625" style="368" hidden="1" customWidth="1"/>
    <col min="37" max="37" width="0.140625" style="368" customWidth="1"/>
    <col min="38" max="38" width="0.42578125" style="8" customWidth="1"/>
    <col min="39" max="39" width="9.140625" style="387"/>
    <col min="40" max="16384" width="9.140625" style="14"/>
  </cols>
  <sheetData>
    <row r="1" spans="1:38" ht="25.5" customHeight="1" x14ac:dyDescent="0.2">
      <c r="A1" s="1446" t="str">
        <f>IF(CoverSheet!J12="N/A","Progress Report","Progress Report with Disbursement Request")</f>
        <v>Progress Report with Disbursement Request</v>
      </c>
      <c r="B1" s="1446"/>
      <c r="C1" s="1446"/>
      <c r="D1" s="1446"/>
      <c r="E1" s="1446"/>
      <c r="F1" s="1446"/>
      <c r="G1" s="1446"/>
      <c r="H1" s="1446"/>
      <c r="I1" s="1446"/>
      <c r="J1" s="1446"/>
      <c r="R1" s="403"/>
      <c r="S1" s="385"/>
      <c r="T1" s="385"/>
      <c r="U1" s="7"/>
      <c r="V1" s="7"/>
    </row>
    <row r="2" spans="1:38" ht="23.25" x14ac:dyDescent="0.2">
      <c r="A2" s="404"/>
      <c r="B2" s="400"/>
      <c r="C2" s="400"/>
      <c r="R2" s="403"/>
      <c r="T2" s="385"/>
      <c r="U2" s="7"/>
      <c r="V2" s="7"/>
    </row>
    <row r="3" spans="1:38" ht="17.25" hidden="1" customHeight="1" x14ac:dyDescent="0.2">
      <c r="A3" s="405"/>
      <c r="B3" s="405"/>
      <c r="C3" s="406" t="s">
        <v>95</v>
      </c>
      <c r="D3" s="406" t="s">
        <v>96</v>
      </c>
      <c r="E3" s="406" t="s">
        <v>97</v>
      </c>
      <c r="F3" s="406"/>
      <c r="G3" s="406"/>
      <c r="R3" s="403"/>
      <c r="S3" s="406" t="s">
        <v>96</v>
      </c>
      <c r="T3" s="385"/>
      <c r="U3" s="7"/>
      <c r="V3" s="7"/>
      <c r="Y3" s="386"/>
    </row>
    <row r="4" spans="1:38" ht="17.25" hidden="1" customHeight="1" x14ac:dyDescent="0.2">
      <c r="A4" s="405"/>
      <c r="B4" s="328" t="e">
        <f>IF('Impact Outcome Indicators_1A'!#REF!=""," ",'Impact Outcome Indicators_1A'!#REF!)</f>
        <v>#REF!</v>
      </c>
      <c r="R4" s="403"/>
      <c r="T4" s="385"/>
      <c r="U4" s="7"/>
      <c r="V4" s="7"/>
      <c r="Y4" s="386"/>
    </row>
    <row r="5" spans="1:38" ht="32.25" customHeight="1" x14ac:dyDescent="0.2">
      <c r="A5" s="12" t="s">
        <v>168</v>
      </c>
      <c r="B5" s="386"/>
      <c r="C5" s="386"/>
      <c r="D5" s="386"/>
      <c r="E5" s="386"/>
      <c r="F5" s="386"/>
      <c r="G5" s="386"/>
      <c r="H5" s="386"/>
      <c r="I5" s="386"/>
      <c r="J5" s="386"/>
      <c r="K5" s="386"/>
      <c r="L5" s="386"/>
      <c r="M5" s="386"/>
      <c r="N5" s="386"/>
      <c r="O5" s="386"/>
      <c r="P5" s="386"/>
      <c r="Q5" s="386"/>
      <c r="R5" s="386"/>
      <c r="S5" s="386"/>
      <c r="T5" s="386"/>
      <c r="U5" s="386"/>
      <c r="V5" s="386"/>
      <c r="W5" s="386"/>
      <c r="X5" s="386"/>
      <c r="Y5" s="407"/>
      <c r="Z5" s="90"/>
      <c r="AA5" s="90"/>
      <c r="AB5" s="90"/>
      <c r="AC5" s="90"/>
      <c r="AD5" s="386"/>
      <c r="AE5" s="90"/>
      <c r="AF5" s="90"/>
      <c r="AG5" s="90"/>
      <c r="AH5" s="90"/>
      <c r="AI5" s="90"/>
      <c r="AJ5" s="521"/>
    </row>
    <row r="6" spans="1:38" ht="40.5" customHeight="1" thickBot="1" x14ac:dyDescent="0.25">
      <c r="A6" s="915" t="s">
        <v>545</v>
      </c>
      <c r="B6" s="17"/>
      <c r="C6" s="17"/>
      <c r="D6" s="13"/>
      <c r="E6" s="13"/>
      <c r="F6" s="13"/>
      <c r="G6" s="13"/>
      <c r="H6" s="14"/>
      <c r="I6" s="14"/>
      <c r="J6" s="14"/>
      <c r="K6" s="14"/>
      <c r="L6" s="14"/>
      <c r="M6" s="14"/>
      <c r="N6" s="14"/>
      <c r="O6" s="14"/>
      <c r="P6" s="14"/>
      <c r="Q6" s="14"/>
      <c r="R6" s="403"/>
      <c r="S6" s="13"/>
      <c r="T6" s="14"/>
      <c r="U6" s="10"/>
      <c r="V6" s="10"/>
      <c r="W6" s="14"/>
      <c r="X6" s="403"/>
      <c r="Y6" s="403"/>
      <c r="Z6" s="14"/>
      <c r="AA6" s="14"/>
      <c r="AB6" s="14"/>
      <c r="AC6" s="14"/>
      <c r="AD6" s="403"/>
      <c r="AE6" s="14"/>
      <c r="AF6" s="14"/>
      <c r="AG6" s="14"/>
      <c r="AH6" s="14"/>
      <c r="AI6" s="14"/>
    </row>
    <row r="7" spans="1:38" ht="27.75" customHeight="1" thickBot="1" x14ac:dyDescent="0.25">
      <c r="A7" s="1449" t="s">
        <v>172</v>
      </c>
      <c r="B7" s="1450"/>
      <c r="C7" s="1450"/>
      <c r="D7" s="1450"/>
      <c r="E7" s="1450"/>
      <c r="F7" s="1450"/>
      <c r="G7" s="1450"/>
      <c r="H7" s="1450"/>
      <c r="I7" s="1450"/>
      <c r="J7" s="1450"/>
      <c r="K7" s="1450"/>
      <c r="L7" s="1450"/>
      <c r="M7" s="1450"/>
      <c r="N7" s="1450"/>
      <c r="O7" s="1450"/>
      <c r="P7" s="1450"/>
      <c r="Q7" s="1450"/>
      <c r="R7" s="1450"/>
      <c r="S7" s="1450"/>
      <c r="T7" s="1444"/>
      <c r="U7" s="1444"/>
      <c r="V7" s="1444"/>
      <c r="W7" s="1444"/>
      <c r="X7" s="1444"/>
      <c r="Y7" s="1444"/>
      <c r="Z7" s="1444"/>
      <c r="AA7" s="1444" t="s">
        <v>101</v>
      </c>
      <c r="AB7" s="1444"/>
      <c r="AC7" s="1444"/>
      <c r="AD7" s="1444"/>
      <c r="AE7" s="1444"/>
      <c r="AF7" s="1444"/>
      <c r="AG7" s="1444"/>
      <c r="AH7" s="1444"/>
      <c r="AI7" s="1445"/>
      <c r="AJ7" s="413"/>
      <c r="AK7" s="413"/>
      <c r="AL7" s="388"/>
    </row>
    <row r="8" spans="1:38" ht="48.75" customHeight="1" x14ac:dyDescent="0.2">
      <c r="A8" s="1447" t="s">
        <v>69</v>
      </c>
      <c r="B8" s="1400" t="s">
        <v>535</v>
      </c>
      <c r="C8" s="1400" t="s">
        <v>536</v>
      </c>
      <c r="D8" s="422" t="s">
        <v>216</v>
      </c>
      <c r="E8" s="1400" t="s">
        <v>61</v>
      </c>
      <c r="F8" s="1400" t="s">
        <v>58</v>
      </c>
      <c r="G8" s="1400"/>
      <c r="H8" s="1400"/>
      <c r="I8" s="1439"/>
      <c r="J8" s="1440"/>
      <c r="K8" s="1400" t="s">
        <v>91</v>
      </c>
      <c r="L8" s="1400"/>
      <c r="M8" s="1400"/>
      <c r="N8" s="1400" t="s">
        <v>232</v>
      </c>
      <c r="O8" s="1400"/>
      <c r="P8" s="1400"/>
      <c r="Q8" s="1400"/>
      <c r="R8" s="1400" t="s">
        <v>236</v>
      </c>
      <c r="S8" s="1400" t="s">
        <v>226</v>
      </c>
      <c r="T8" s="1398" t="s">
        <v>13</v>
      </c>
      <c r="U8" s="1398"/>
      <c r="V8" s="1398"/>
      <c r="W8" s="1398"/>
      <c r="X8" s="1398" t="s">
        <v>236</v>
      </c>
      <c r="Y8" s="1443" t="s">
        <v>24</v>
      </c>
      <c r="Z8" s="1398" t="s">
        <v>227</v>
      </c>
      <c r="AA8" s="1441" t="s">
        <v>207</v>
      </c>
      <c r="AB8" s="1441"/>
      <c r="AC8" s="1441"/>
      <c r="AD8" s="1441" t="s">
        <v>236</v>
      </c>
      <c r="AE8" s="1441" t="s">
        <v>208</v>
      </c>
      <c r="AF8" s="1441"/>
      <c r="AG8" s="1441"/>
      <c r="AH8" s="1441"/>
      <c r="AI8" s="1441"/>
      <c r="AJ8" s="387"/>
      <c r="AK8" s="387"/>
      <c r="AL8" s="389"/>
    </row>
    <row r="9" spans="1:38" ht="74.25" customHeight="1" x14ac:dyDescent="0.2">
      <c r="A9" s="1448"/>
      <c r="B9" s="1438"/>
      <c r="C9" s="1438"/>
      <c r="D9" s="1230" t="s">
        <v>359</v>
      </c>
      <c r="E9" s="1438"/>
      <c r="F9" s="1201" t="s">
        <v>95</v>
      </c>
      <c r="G9" s="1201" t="s">
        <v>96</v>
      </c>
      <c r="H9" s="1201" t="s">
        <v>97</v>
      </c>
      <c r="I9" s="1201" t="s">
        <v>323</v>
      </c>
      <c r="J9" s="1201" t="s">
        <v>358</v>
      </c>
      <c r="K9" s="1201" t="s">
        <v>95</v>
      </c>
      <c r="L9" s="1201" t="s">
        <v>96</v>
      </c>
      <c r="M9" s="1201" t="s">
        <v>97</v>
      </c>
      <c r="N9" s="1201" t="s">
        <v>95</v>
      </c>
      <c r="O9" s="1201" t="s">
        <v>96</v>
      </c>
      <c r="P9" s="1201" t="s">
        <v>97</v>
      </c>
      <c r="Q9" s="1201" t="s">
        <v>358</v>
      </c>
      <c r="R9" s="1401"/>
      <c r="S9" s="1438"/>
      <c r="T9" s="1231" t="s">
        <v>95</v>
      </c>
      <c r="U9" s="1231" t="s">
        <v>96</v>
      </c>
      <c r="V9" s="1231" t="s">
        <v>97</v>
      </c>
      <c r="W9" s="1231" t="s">
        <v>358</v>
      </c>
      <c r="X9" s="1399"/>
      <c r="Y9" s="1399"/>
      <c r="Z9" s="1399"/>
      <c r="AA9" s="1232" t="s">
        <v>95</v>
      </c>
      <c r="AB9" s="1232" t="s">
        <v>96</v>
      </c>
      <c r="AC9" s="1232" t="s">
        <v>97</v>
      </c>
      <c r="AD9" s="1442"/>
      <c r="AE9" s="1442"/>
      <c r="AF9" s="1442"/>
      <c r="AG9" s="1442"/>
      <c r="AH9" s="1442"/>
      <c r="AI9" s="1442"/>
      <c r="AJ9" s="541" t="s">
        <v>356</v>
      </c>
      <c r="AK9" s="387"/>
      <c r="AL9" s="389"/>
    </row>
    <row r="10" spans="1:38" ht="31.35" hidden="1" customHeight="1" x14ac:dyDescent="0.2">
      <c r="A10" s="1203" t="s">
        <v>314</v>
      </c>
      <c r="B10" s="1202" t="s">
        <v>315</v>
      </c>
      <c r="C10" s="1225" t="s">
        <v>316</v>
      </c>
      <c r="D10" s="1202" t="s">
        <v>317</v>
      </c>
      <c r="E10" s="1225" t="s">
        <v>318</v>
      </c>
      <c r="F10" s="1233" t="s">
        <v>319</v>
      </c>
      <c r="G10" s="1233" t="s">
        <v>320</v>
      </c>
      <c r="H10" s="1234" t="s">
        <v>321</v>
      </c>
      <c r="I10" s="1225" t="s">
        <v>322</v>
      </c>
      <c r="J10" s="1235" t="s">
        <v>307</v>
      </c>
      <c r="K10" s="1233" t="s">
        <v>324</v>
      </c>
      <c r="L10" s="1233" t="s">
        <v>325</v>
      </c>
      <c r="M10" s="1234" t="s">
        <v>326</v>
      </c>
      <c r="N10" s="1236" t="s">
        <v>327</v>
      </c>
      <c r="O10" s="1236" t="s">
        <v>328</v>
      </c>
      <c r="P10" s="1237" t="str">
        <f>IFERROR((N10/O10)*100,"")</f>
        <v/>
      </c>
      <c r="Q10" s="1209" t="s">
        <v>295</v>
      </c>
      <c r="R10" s="1238" t="str">
        <f>IFERROR(IF(AND(K10&lt;&gt;"",L10="",N10&lt;&gt;"",O10=""),IF((N10/K10)&gt;120%,120%,(N10/K10)),IF((P10/M10)&gt;120%,120%,(P10/M10)))," ")</f>
        <v xml:space="preserve"> </v>
      </c>
      <c r="S10" s="1197" t="s">
        <v>296</v>
      </c>
      <c r="T10" s="1239" t="s">
        <v>329</v>
      </c>
      <c r="U10" s="1239" t="s">
        <v>330</v>
      </c>
      <c r="V10" s="1237" t="str">
        <f>IFERROR((T10/U10)*100,"")</f>
        <v/>
      </c>
      <c r="W10" s="1209" t="s">
        <v>299</v>
      </c>
      <c r="X10" s="1238" t="str">
        <f>IFERROR(IF(AND(K10&lt;&gt;"",L10="",T10&lt;&gt;"",U10=""),IF((T10/K10)&gt;120%,120%,(T10/K10)),IF((V10/M10)&gt;120%,120%,(V10/M10)))," ")</f>
        <v xml:space="preserve"> </v>
      </c>
      <c r="Y10" s="1236" t="s">
        <v>297</v>
      </c>
      <c r="Z10" s="1197" t="s">
        <v>300</v>
      </c>
      <c r="AA10" s="1236" t="str">
        <f>IF(T10="","",T10)</f>
        <v>[Verified Result N# (LFA)]</v>
      </c>
      <c r="AB10" s="1236" t="str">
        <f>IF(U10="","",U10)</f>
        <v>[Verified Result D# (LFA)]</v>
      </c>
      <c r="AC10" s="1240" t="str">
        <f>IFERROR(AA10/AB10,"")</f>
        <v/>
      </c>
      <c r="AD10" s="1241" t="str">
        <f>IFERROR(IF(AND(K10&lt;&gt;"",L10="",AA10&lt;&gt;"",AB10=""),IF((AA10/AB10)&gt;120%,120%,(AA10/K10)),IF((AB10/M10)&gt;120%,120%,(AC10/M10)))," ")</f>
        <v xml:space="preserve"> </v>
      </c>
      <c r="AE10" s="1437"/>
      <c r="AF10" s="1437"/>
      <c r="AG10" s="1437"/>
      <c r="AH10" s="1437"/>
      <c r="AI10" s="1437"/>
      <c r="AJ10" s="541" t="s">
        <v>355</v>
      </c>
      <c r="AK10" s="523"/>
      <c r="AL10" s="389"/>
    </row>
    <row r="11" spans="1:38" ht="31.35" customHeight="1" x14ac:dyDescent="0.2">
      <c r="A11" s="1203" t="s">
        <v>1006</v>
      </c>
      <c r="B11" s="1202"/>
      <c r="C11" s="1225" t="s">
        <v>1007</v>
      </c>
      <c r="D11" s="1202" t="s">
        <v>938</v>
      </c>
      <c r="E11" s="1225" t="s">
        <v>940</v>
      </c>
      <c r="F11" s="1233"/>
      <c r="G11" s="1233"/>
      <c r="H11" s="1234"/>
      <c r="I11" s="1225"/>
      <c r="J11" s="1235" t="s">
        <v>1008</v>
      </c>
      <c r="K11" s="1233"/>
      <c r="L11" s="1233"/>
      <c r="M11" s="1234">
        <v>30</v>
      </c>
      <c r="N11" s="1236">
        <v>133</v>
      </c>
      <c r="O11" s="1236">
        <v>3481</v>
      </c>
      <c r="P11" s="1237">
        <f t="shared" ref="P11:P17" si="0">IFERROR((N11/O11)*100,"")</f>
        <v>3.8207411663315143</v>
      </c>
      <c r="Q11" s="1209" t="s">
        <v>881</v>
      </c>
      <c r="R11" s="1238">
        <f t="shared" ref="R11:R17" si="1">IFERROR(IF(AND(K11&lt;&gt;"",L11="",N11&lt;&gt;"",O11=""),IF((N11/K11)&gt;120%,120%,(N11/K11)),IF((P11/M11)&gt;120%,120%,(P11/M11)))," ")</f>
        <v>0.12735803887771716</v>
      </c>
      <c r="S11" s="1197" t="s">
        <v>1681</v>
      </c>
      <c r="T11" s="1239"/>
      <c r="U11" s="1239"/>
      <c r="V11" s="1237" t="str">
        <f t="shared" ref="V11:V17" si="2">IFERROR((T11/U11)*100,"")</f>
        <v/>
      </c>
      <c r="W11" s="1209"/>
      <c r="X11" s="1238" t="str">
        <f t="shared" ref="X11:X17" si="3">IFERROR(IF(AND(K11&lt;&gt;"",L11="",T11&lt;&gt;"",U11=""),IF((T11/K11)&gt;120%,120%,(T11/K11)),IF((V11/M11)&gt;120%,120%,(V11/M11)))," ")</f>
        <v xml:space="preserve"> </v>
      </c>
      <c r="Y11" s="1236"/>
      <c r="Z11" s="1197"/>
      <c r="AA11" s="1236" t="str">
        <f t="shared" ref="AA11:AA17" si="4">IF(T11="","",T11)</f>
        <v/>
      </c>
      <c r="AB11" s="1236" t="str">
        <f t="shared" ref="AB11:AB17" si="5">IF(U11="","",U11)</f>
        <v/>
      </c>
      <c r="AC11" s="1240" t="str">
        <f t="shared" ref="AC11:AC17" si="6">IFERROR(AA11/AB11,"")</f>
        <v/>
      </c>
      <c r="AD11" s="1241" t="str">
        <f t="shared" ref="AD11:AD17" si="7">IFERROR(IF(AND(K11&lt;&gt;"",L11="",AA11&lt;&gt;"",AB11=""),IF((AA11/AB11)&gt;120%,120%,(AA11/K11)),IF((AB11/M11)&gt;120%,120%,(AC11/M11)))," ")</f>
        <v xml:space="preserve"> </v>
      </c>
      <c r="AE11" s="1242"/>
      <c r="AF11" s="1242"/>
      <c r="AG11" s="1242"/>
      <c r="AH11" s="1242"/>
      <c r="AI11" s="1242"/>
      <c r="AJ11" s="541" t="s">
        <v>1009</v>
      </c>
      <c r="AK11" s="387"/>
      <c r="AL11" s="389"/>
    </row>
    <row r="12" spans="1:38" ht="31.35" customHeight="1" x14ac:dyDescent="0.2">
      <c r="A12" s="1203" t="s">
        <v>1006</v>
      </c>
      <c r="B12" s="1202"/>
      <c r="C12" s="1225" t="s">
        <v>1010</v>
      </c>
      <c r="D12" s="1202" t="s">
        <v>938</v>
      </c>
      <c r="E12" s="1225" t="s">
        <v>940</v>
      </c>
      <c r="F12" s="1233"/>
      <c r="G12" s="1233"/>
      <c r="H12" s="1234"/>
      <c r="I12" s="1225"/>
      <c r="J12" s="1235" t="s">
        <v>1008</v>
      </c>
      <c r="K12" s="1233"/>
      <c r="L12" s="1233"/>
      <c r="M12" s="1234">
        <v>30</v>
      </c>
      <c r="N12" s="1236">
        <v>2</v>
      </c>
      <c r="O12" s="1236">
        <f>65+56</f>
        <v>121</v>
      </c>
      <c r="P12" s="1237">
        <f t="shared" si="0"/>
        <v>1.6528925619834711</v>
      </c>
      <c r="Q12" s="1209" t="s">
        <v>881</v>
      </c>
      <c r="R12" s="1238">
        <f t="shared" si="1"/>
        <v>5.5096418732782371E-2</v>
      </c>
      <c r="S12" s="1197" t="s">
        <v>1682</v>
      </c>
      <c r="T12" s="1239"/>
      <c r="U12" s="1239"/>
      <c r="V12" s="1237" t="str">
        <f t="shared" si="2"/>
        <v/>
      </c>
      <c r="W12" s="1209"/>
      <c r="X12" s="1238" t="str">
        <f t="shared" si="3"/>
        <v xml:space="preserve"> </v>
      </c>
      <c r="Y12" s="1236"/>
      <c r="Z12" s="1197"/>
      <c r="AA12" s="1236" t="str">
        <f t="shared" si="4"/>
        <v/>
      </c>
      <c r="AB12" s="1236" t="str">
        <f t="shared" si="5"/>
        <v/>
      </c>
      <c r="AC12" s="1240" t="str">
        <f t="shared" si="6"/>
        <v/>
      </c>
      <c r="AD12" s="1241" t="str">
        <f t="shared" si="7"/>
        <v xml:space="preserve"> </v>
      </c>
      <c r="AE12" s="1242"/>
      <c r="AF12" s="1242"/>
      <c r="AG12" s="1242"/>
      <c r="AH12" s="1242"/>
      <c r="AI12" s="1242"/>
      <c r="AJ12" s="541" t="s">
        <v>1011</v>
      </c>
      <c r="AK12" s="387"/>
      <c r="AL12" s="389"/>
    </row>
    <row r="13" spans="1:38" ht="31.35" customHeight="1" x14ac:dyDescent="0.2">
      <c r="A13" s="1203" t="s">
        <v>1012</v>
      </c>
      <c r="B13" s="1202" t="s">
        <v>1013</v>
      </c>
      <c r="C13" s="1225"/>
      <c r="D13" s="1202" t="s">
        <v>901</v>
      </c>
      <c r="E13" s="1225" t="s">
        <v>940</v>
      </c>
      <c r="F13" s="1233">
        <v>547</v>
      </c>
      <c r="G13" s="1233"/>
      <c r="H13" s="1234"/>
      <c r="I13" s="1225" t="s">
        <v>831</v>
      </c>
      <c r="J13" s="1235" t="s">
        <v>1008</v>
      </c>
      <c r="K13" s="1233">
        <v>714</v>
      </c>
      <c r="L13" s="1233"/>
      <c r="M13" s="1234"/>
      <c r="N13" s="1236">
        <v>449</v>
      </c>
      <c r="O13" s="1236"/>
      <c r="P13" s="1237" t="str">
        <f t="shared" si="0"/>
        <v/>
      </c>
      <c r="Q13" s="1209" t="s">
        <v>863</v>
      </c>
      <c r="R13" s="1238">
        <f t="shared" si="1"/>
        <v>0.62885154061624648</v>
      </c>
      <c r="S13" s="1197" t="s">
        <v>1700</v>
      </c>
      <c r="T13" s="1239"/>
      <c r="U13" s="1239"/>
      <c r="V13" s="1237" t="str">
        <f t="shared" si="2"/>
        <v/>
      </c>
      <c r="W13" s="1209"/>
      <c r="X13" s="1238" t="str">
        <f t="shared" si="3"/>
        <v xml:space="preserve"> </v>
      </c>
      <c r="Y13" s="1236"/>
      <c r="Z13" s="1197"/>
      <c r="AA13" s="1236" t="str">
        <f t="shared" si="4"/>
        <v/>
      </c>
      <c r="AB13" s="1236" t="str">
        <f t="shared" si="5"/>
        <v/>
      </c>
      <c r="AC13" s="1240" t="str">
        <f t="shared" si="6"/>
        <v/>
      </c>
      <c r="AD13" s="1241" t="str">
        <f t="shared" si="7"/>
        <v xml:space="preserve"> </v>
      </c>
      <c r="AE13" s="1242"/>
      <c r="AF13" s="1242"/>
      <c r="AG13" s="1242"/>
      <c r="AH13" s="1242"/>
      <c r="AI13" s="1242"/>
      <c r="AJ13" s="541" t="s">
        <v>1014</v>
      </c>
      <c r="AK13" s="387"/>
      <c r="AL13" s="389"/>
    </row>
    <row r="14" spans="1:38" ht="45.75" customHeight="1" x14ac:dyDescent="0.2">
      <c r="A14" s="1203" t="s">
        <v>1012</v>
      </c>
      <c r="B14" s="1202" t="s">
        <v>1015</v>
      </c>
      <c r="C14" s="1225"/>
      <c r="D14" s="1202" t="s">
        <v>901</v>
      </c>
      <c r="E14" s="1225" t="s">
        <v>940</v>
      </c>
      <c r="F14" s="1233">
        <v>650</v>
      </c>
      <c r="G14" s="1233"/>
      <c r="H14" s="1234"/>
      <c r="I14" s="1225" t="s">
        <v>831</v>
      </c>
      <c r="J14" s="1235" t="s">
        <v>1016</v>
      </c>
      <c r="K14" s="1233">
        <v>714</v>
      </c>
      <c r="L14" s="1233"/>
      <c r="M14" s="1234"/>
      <c r="N14" s="1236">
        <v>449</v>
      </c>
      <c r="O14" s="1236"/>
      <c r="P14" s="1237" t="str">
        <f t="shared" si="0"/>
        <v/>
      </c>
      <c r="Q14" s="1209" t="s">
        <v>863</v>
      </c>
      <c r="R14" s="1238">
        <f t="shared" si="1"/>
        <v>0.62885154061624648</v>
      </c>
      <c r="S14" s="1197" t="s">
        <v>1679</v>
      </c>
      <c r="T14" s="1239"/>
      <c r="U14" s="1239"/>
      <c r="V14" s="1237" t="str">
        <f t="shared" si="2"/>
        <v/>
      </c>
      <c r="W14" s="1209"/>
      <c r="X14" s="1238" t="str">
        <f t="shared" si="3"/>
        <v xml:space="preserve"> </v>
      </c>
      <c r="Y14" s="1236"/>
      <c r="Z14" s="1197"/>
      <c r="AA14" s="1236" t="str">
        <f t="shared" si="4"/>
        <v/>
      </c>
      <c r="AB14" s="1236" t="str">
        <f t="shared" si="5"/>
        <v/>
      </c>
      <c r="AC14" s="1240" t="str">
        <f t="shared" si="6"/>
        <v/>
      </c>
      <c r="AD14" s="1241" t="str">
        <f t="shared" si="7"/>
        <v xml:space="preserve"> </v>
      </c>
      <c r="AE14" s="1242"/>
      <c r="AF14" s="1242"/>
      <c r="AG14" s="1242"/>
      <c r="AH14" s="1242"/>
      <c r="AI14" s="1242"/>
      <c r="AJ14" s="541" t="s">
        <v>1017</v>
      </c>
      <c r="AK14" s="387"/>
      <c r="AL14" s="389"/>
    </row>
    <row r="15" spans="1:38" ht="50.25" customHeight="1" x14ac:dyDescent="0.2">
      <c r="A15" s="1203" t="s">
        <v>1018</v>
      </c>
      <c r="B15" s="1202" t="s">
        <v>1019</v>
      </c>
      <c r="C15" s="1225"/>
      <c r="D15" s="1202" t="s">
        <v>901</v>
      </c>
      <c r="E15" s="1225" t="s">
        <v>940</v>
      </c>
      <c r="F15" s="1233"/>
      <c r="G15" s="1233"/>
      <c r="H15" s="1234">
        <v>85</v>
      </c>
      <c r="I15" s="1225" t="s">
        <v>833</v>
      </c>
      <c r="J15" s="1235" t="s">
        <v>1003</v>
      </c>
      <c r="K15" s="1233"/>
      <c r="L15" s="1233"/>
      <c r="M15" s="1234">
        <v>87</v>
      </c>
      <c r="N15" s="1236">
        <v>10739</v>
      </c>
      <c r="O15" s="1236">
        <v>12774</v>
      </c>
      <c r="P15" s="1237">
        <f t="shared" si="0"/>
        <v>84.069203068733373</v>
      </c>
      <c r="Q15" s="1209" t="s">
        <v>863</v>
      </c>
      <c r="R15" s="1238">
        <f t="shared" si="1"/>
        <v>0.96631267895095829</v>
      </c>
      <c r="S15" s="1197" t="s">
        <v>1701</v>
      </c>
      <c r="T15" s="1239"/>
      <c r="U15" s="1239"/>
      <c r="V15" s="1237" t="str">
        <f t="shared" si="2"/>
        <v/>
      </c>
      <c r="W15" s="1209"/>
      <c r="X15" s="1238" t="str">
        <f t="shared" si="3"/>
        <v xml:space="preserve"> </v>
      </c>
      <c r="Y15" s="1236"/>
      <c r="Z15" s="1197"/>
      <c r="AA15" s="1236" t="str">
        <f t="shared" si="4"/>
        <v/>
      </c>
      <c r="AB15" s="1236" t="str">
        <f t="shared" si="5"/>
        <v/>
      </c>
      <c r="AC15" s="1240" t="str">
        <f t="shared" si="6"/>
        <v/>
      </c>
      <c r="AD15" s="1241" t="str">
        <f t="shared" si="7"/>
        <v xml:space="preserve"> </v>
      </c>
      <c r="AE15" s="1242"/>
      <c r="AF15" s="1242"/>
      <c r="AG15" s="1242"/>
      <c r="AH15" s="1242"/>
      <c r="AI15" s="1242"/>
      <c r="AJ15" s="541" t="s">
        <v>1020</v>
      </c>
      <c r="AK15" s="387"/>
      <c r="AL15" s="389"/>
    </row>
    <row r="16" spans="1:38" ht="31.35" customHeight="1" x14ac:dyDescent="0.2">
      <c r="A16" s="1203" t="s">
        <v>1021</v>
      </c>
      <c r="B16" s="1202"/>
      <c r="C16" s="1225" t="s">
        <v>1022</v>
      </c>
      <c r="D16" s="1202" t="s">
        <v>938</v>
      </c>
      <c r="E16" s="1225" t="s">
        <v>940</v>
      </c>
      <c r="F16" s="1233"/>
      <c r="G16" s="1233"/>
      <c r="H16" s="1234"/>
      <c r="I16" s="1225"/>
      <c r="J16" s="1235" t="s">
        <v>868</v>
      </c>
      <c r="K16" s="1233">
        <v>325</v>
      </c>
      <c r="L16" s="1233"/>
      <c r="M16" s="1234"/>
      <c r="N16" s="1236">
        <f>341+192+255+535</f>
        <v>1323</v>
      </c>
      <c r="O16" s="1236"/>
      <c r="P16" s="1237" t="str">
        <f t="shared" si="0"/>
        <v/>
      </c>
      <c r="Q16" s="1209" t="s">
        <v>863</v>
      </c>
      <c r="R16" s="1238">
        <f t="shared" si="1"/>
        <v>1.2</v>
      </c>
      <c r="S16" s="1197" t="s">
        <v>1687</v>
      </c>
      <c r="T16" s="1239"/>
      <c r="U16" s="1239"/>
      <c r="V16" s="1237" t="str">
        <f t="shared" si="2"/>
        <v/>
      </c>
      <c r="W16" s="1209"/>
      <c r="X16" s="1238" t="str">
        <f t="shared" si="3"/>
        <v xml:space="preserve"> </v>
      </c>
      <c r="Y16" s="1236"/>
      <c r="Z16" s="1197"/>
      <c r="AA16" s="1236" t="str">
        <f t="shared" si="4"/>
        <v/>
      </c>
      <c r="AB16" s="1236" t="str">
        <f t="shared" si="5"/>
        <v/>
      </c>
      <c r="AC16" s="1240" t="str">
        <f t="shared" si="6"/>
        <v/>
      </c>
      <c r="AD16" s="1241" t="str">
        <f t="shared" si="7"/>
        <v xml:space="preserve"> </v>
      </c>
      <c r="AE16" s="1242"/>
      <c r="AF16" s="1242"/>
      <c r="AG16" s="1242"/>
      <c r="AH16" s="1242"/>
      <c r="AI16" s="1242"/>
      <c r="AJ16" s="541" t="s">
        <v>1023</v>
      </c>
      <c r="AK16" s="387"/>
      <c r="AL16" s="389"/>
    </row>
    <row r="17" spans="1:38" ht="31.35" customHeight="1" x14ac:dyDescent="0.2">
      <c r="A17" s="1203" t="s">
        <v>1021</v>
      </c>
      <c r="B17" s="1202" t="s">
        <v>1024</v>
      </c>
      <c r="C17" s="1225"/>
      <c r="D17" s="1202" t="s">
        <v>901</v>
      </c>
      <c r="E17" s="1225" t="s">
        <v>940</v>
      </c>
      <c r="F17" s="1233">
        <v>263</v>
      </c>
      <c r="G17" s="1233">
        <v>273</v>
      </c>
      <c r="H17" s="1234">
        <v>96.3</v>
      </c>
      <c r="I17" s="1225" t="s">
        <v>833</v>
      </c>
      <c r="J17" s="1235" t="s">
        <v>1003</v>
      </c>
      <c r="K17" s="1233"/>
      <c r="L17" s="1233"/>
      <c r="M17" s="1234">
        <v>96.5</v>
      </c>
      <c r="N17" s="1236">
        <v>173</v>
      </c>
      <c r="O17" s="1236">
        <v>209</v>
      </c>
      <c r="P17" s="1237">
        <f t="shared" si="0"/>
        <v>82.775119617224874</v>
      </c>
      <c r="Q17" s="1209" t="s">
        <v>863</v>
      </c>
      <c r="R17" s="1238">
        <f t="shared" si="1"/>
        <v>0.85777326028212308</v>
      </c>
      <c r="S17" s="1197" t="s">
        <v>1680</v>
      </c>
      <c r="T17" s="1239"/>
      <c r="U17" s="1239"/>
      <c r="V17" s="1237" t="str">
        <f t="shared" si="2"/>
        <v/>
      </c>
      <c r="W17" s="1209"/>
      <c r="X17" s="1238" t="str">
        <f t="shared" si="3"/>
        <v xml:space="preserve"> </v>
      </c>
      <c r="Y17" s="1236"/>
      <c r="Z17" s="1197"/>
      <c r="AA17" s="1236" t="str">
        <f t="shared" si="4"/>
        <v/>
      </c>
      <c r="AB17" s="1236" t="str">
        <f t="shared" si="5"/>
        <v/>
      </c>
      <c r="AC17" s="1240" t="str">
        <f t="shared" si="6"/>
        <v/>
      </c>
      <c r="AD17" s="1241" t="str">
        <f t="shared" si="7"/>
        <v xml:space="preserve"> </v>
      </c>
      <c r="AE17" s="1242"/>
      <c r="AF17" s="1242"/>
      <c r="AG17" s="1242"/>
      <c r="AH17" s="1242"/>
      <c r="AI17" s="1242"/>
      <c r="AJ17" s="541" t="s">
        <v>1025</v>
      </c>
      <c r="AK17" s="387"/>
      <c r="AL17" s="389"/>
    </row>
    <row r="18" spans="1:38" ht="2.4500000000000002" customHeight="1" thickBot="1" x14ac:dyDescent="0.25">
      <c r="A18" s="414"/>
      <c r="B18" s="415"/>
      <c r="C18" s="415"/>
      <c r="D18" s="415"/>
      <c r="E18" s="415"/>
      <c r="F18" s="415"/>
      <c r="G18" s="415"/>
      <c r="H18" s="415"/>
      <c r="I18" s="415"/>
      <c r="J18" s="415"/>
      <c r="K18" s="415"/>
      <c r="L18" s="415"/>
      <c r="M18" s="415"/>
      <c r="N18" s="415"/>
      <c r="O18" s="415"/>
      <c r="P18" s="415"/>
      <c r="Q18" s="415"/>
      <c r="R18" s="431"/>
      <c r="S18" s="415"/>
      <c r="T18" s="415"/>
      <c r="U18" s="415"/>
      <c r="V18" s="415"/>
      <c r="W18" s="415"/>
      <c r="X18" s="431"/>
      <c r="Y18" s="415"/>
      <c r="Z18" s="415"/>
      <c r="AA18" s="415"/>
      <c r="AB18" s="415"/>
      <c r="AC18" s="415"/>
      <c r="AD18" s="431"/>
      <c r="AE18" s="415"/>
      <c r="AF18" s="415"/>
      <c r="AG18" s="415"/>
      <c r="AH18" s="415"/>
      <c r="AI18" s="415"/>
      <c r="AJ18" s="416"/>
      <c r="AK18" s="416"/>
      <c r="AL18" s="417"/>
    </row>
    <row r="22" spans="1:38" x14ac:dyDescent="0.2">
      <c r="S22" s="14"/>
      <c r="T22" s="14"/>
      <c r="U22" s="14"/>
      <c r="V22" s="14"/>
      <c r="W22" s="14"/>
      <c r="X22" s="403"/>
      <c r="Y22" s="14"/>
      <c r="Z22" s="14"/>
      <c r="AA22" s="14"/>
      <c r="AB22" s="14"/>
      <c r="AC22" s="14"/>
      <c r="AD22" s="403"/>
      <c r="AE22" s="14"/>
      <c r="AF22" s="14"/>
      <c r="AG22" s="14"/>
      <c r="AH22" s="14"/>
      <c r="AI22" s="14"/>
      <c r="AJ22" s="387"/>
      <c r="AK22" s="387"/>
      <c r="AL22" s="14"/>
    </row>
    <row r="23" spans="1:38" x14ac:dyDescent="0.2">
      <c r="S23" s="14"/>
      <c r="T23" s="14"/>
      <c r="U23" s="14"/>
      <c r="V23" s="14"/>
      <c r="W23" s="14"/>
      <c r="X23" s="403"/>
      <c r="Y23" s="14"/>
      <c r="Z23" s="14"/>
      <c r="AA23" s="14"/>
      <c r="AB23" s="14"/>
      <c r="AC23" s="14"/>
      <c r="AD23" s="403"/>
      <c r="AE23" s="14"/>
      <c r="AF23" s="14"/>
      <c r="AG23" s="14"/>
      <c r="AH23" s="14"/>
      <c r="AI23" s="14"/>
      <c r="AJ23" s="387"/>
      <c r="AK23" s="387"/>
      <c r="AL23" s="14"/>
    </row>
    <row r="24" spans="1:38" x14ac:dyDescent="0.2">
      <c r="S24" s="14"/>
      <c r="T24" s="14"/>
      <c r="U24" s="14"/>
      <c r="V24" s="14"/>
      <c r="W24" s="14"/>
      <c r="X24" s="403"/>
      <c r="Y24" s="1436"/>
      <c r="Z24" s="1436"/>
      <c r="AA24" s="14"/>
      <c r="AB24" s="14"/>
      <c r="AC24" s="14"/>
      <c r="AD24" s="403"/>
      <c r="AE24" s="14"/>
      <c r="AF24" s="14"/>
      <c r="AG24" s="14"/>
      <c r="AH24" s="14"/>
      <c r="AI24" s="14"/>
      <c r="AJ24" s="387"/>
      <c r="AK24" s="387"/>
      <c r="AL24" s="14"/>
    </row>
    <row r="25" spans="1:38" x14ac:dyDescent="0.2">
      <c r="S25" s="14"/>
      <c r="T25" s="14"/>
      <c r="U25" s="14"/>
      <c r="V25" s="14"/>
      <c r="W25" s="14"/>
      <c r="X25" s="403"/>
      <c r="Y25" s="1436"/>
      <c r="Z25" s="1436"/>
      <c r="AA25" s="14"/>
      <c r="AB25" s="14"/>
      <c r="AC25" s="14"/>
      <c r="AD25" s="403"/>
      <c r="AE25" s="14"/>
      <c r="AF25" s="14"/>
      <c r="AG25" s="14"/>
      <c r="AH25" s="14"/>
      <c r="AI25" s="14"/>
      <c r="AJ25" s="387"/>
      <c r="AK25" s="387"/>
      <c r="AL25" s="14"/>
    </row>
    <row r="26" spans="1:38" x14ac:dyDescent="0.2">
      <c r="S26" s="14"/>
      <c r="T26" s="14"/>
      <c r="U26" s="14"/>
      <c r="V26" s="14"/>
      <c r="W26" s="14"/>
      <c r="X26" s="403"/>
      <c r="Y26" s="14"/>
      <c r="Z26" s="14"/>
      <c r="AA26" s="14"/>
      <c r="AB26" s="14"/>
      <c r="AC26" s="14"/>
      <c r="AD26" s="403"/>
      <c r="AE26" s="14"/>
      <c r="AF26" s="14"/>
      <c r="AG26" s="14"/>
      <c r="AH26" s="14"/>
      <c r="AI26" s="14"/>
      <c r="AJ26" s="387"/>
      <c r="AK26" s="387"/>
      <c r="AL26" s="14"/>
    </row>
    <row r="27" spans="1:38" x14ac:dyDescent="0.2">
      <c r="S27" s="14"/>
      <c r="T27" s="14"/>
      <c r="U27" s="14"/>
      <c r="V27" s="14"/>
      <c r="W27" s="14"/>
      <c r="X27" s="403"/>
      <c r="Y27" s="14"/>
      <c r="Z27" s="14"/>
      <c r="AA27" s="14"/>
      <c r="AB27" s="14"/>
      <c r="AC27" s="14"/>
      <c r="AD27" s="403"/>
      <c r="AE27" s="14"/>
      <c r="AF27" s="14"/>
      <c r="AG27" s="14"/>
      <c r="AH27" s="14"/>
      <c r="AI27" s="14"/>
      <c r="AJ27" s="387"/>
      <c r="AK27" s="387"/>
      <c r="AL27" s="14"/>
    </row>
    <row r="28" spans="1:38" x14ac:dyDescent="0.2">
      <c r="S28" s="14"/>
      <c r="T28" s="14"/>
      <c r="U28" s="14"/>
      <c r="V28" s="14"/>
      <c r="W28" s="14"/>
      <c r="X28" s="403"/>
      <c r="Y28" s="14"/>
      <c r="Z28" s="14"/>
      <c r="AA28" s="14"/>
      <c r="AB28" s="14"/>
      <c r="AC28" s="14"/>
      <c r="AD28" s="403"/>
      <c r="AE28" s="14"/>
      <c r="AF28" s="14"/>
      <c r="AG28" s="14"/>
      <c r="AH28" s="14"/>
      <c r="AI28" s="14"/>
      <c r="AJ28" s="387"/>
      <c r="AK28" s="387"/>
      <c r="AL28" s="14"/>
    </row>
    <row r="29" spans="1:38" ht="15" x14ac:dyDescent="0.2">
      <c r="S29" s="14"/>
      <c r="T29" s="973"/>
      <c r="U29" s="973"/>
      <c r="V29" s="974"/>
      <c r="W29" s="975"/>
      <c r="X29" s="976"/>
      <c r="Y29" s="977"/>
      <c r="Z29" s="978"/>
      <c r="AA29" s="14"/>
      <c r="AB29" s="14"/>
      <c r="AC29" s="14"/>
      <c r="AD29" s="403"/>
      <c r="AE29" s="14"/>
      <c r="AF29" s="14"/>
      <c r="AG29" s="14"/>
      <c r="AH29" s="14"/>
      <c r="AI29" s="14"/>
      <c r="AJ29" s="387"/>
      <c r="AK29" s="387"/>
      <c r="AL29" s="14"/>
    </row>
    <row r="30" spans="1:38" x14ac:dyDescent="0.2">
      <c r="S30" s="14"/>
      <c r="T30" s="14"/>
      <c r="U30" s="14"/>
      <c r="V30" s="14"/>
      <c r="W30" s="14"/>
      <c r="X30" s="403"/>
      <c r="Y30" s="14"/>
      <c r="Z30" s="14"/>
      <c r="AA30" s="14"/>
      <c r="AB30" s="14"/>
      <c r="AC30" s="14"/>
      <c r="AD30" s="403"/>
      <c r="AE30" s="14"/>
      <c r="AF30" s="14"/>
      <c r="AG30" s="14"/>
      <c r="AH30" s="14"/>
      <c r="AI30" s="14"/>
      <c r="AJ30" s="387"/>
      <c r="AK30" s="387"/>
      <c r="AL30" s="14"/>
    </row>
    <row r="31" spans="1:38" x14ac:dyDescent="0.2">
      <c r="S31" s="14"/>
      <c r="T31" s="14"/>
      <c r="U31" s="14"/>
      <c r="V31" s="14"/>
      <c r="W31" s="14"/>
      <c r="X31" s="403"/>
      <c r="Y31" s="14"/>
      <c r="Z31" s="14"/>
      <c r="AA31" s="14"/>
      <c r="AB31" s="14"/>
      <c r="AC31" s="14"/>
      <c r="AD31" s="403"/>
      <c r="AE31" s="14"/>
      <c r="AF31" s="14"/>
      <c r="AG31" s="14"/>
      <c r="AH31" s="14"/>
      <c r="AI31" s="14"/>
      <c r="AJ31" s="387"/>
      <c r="AK31" s="387"/>
      <c r="AL31" s="14"/>
    </row>
  </sheetData>
  <sheetProtection algorithmName="SHA-512" hashValue="V/V70KKUtXRbgLYNlusHTremYEXu4OSO/rxmD8FoQYcwBfnhfBcW0maQrpHOWxSElpcbIBXo/RN67fJy8Va/Lw==" saltValue="zUi9N4TiNtmv4zhEr1QZIg==" spinCount="100000" sheet="1" objects="1" scenarios="1" formatColumns="0" formatRows="0" sort="0" autoFilter="0"/>
  <autoFilter ref="A8:AJ17">
    <filterColumn colId="5" showButton="0"/>
    <filterColumn colId="6" showButton="0"/>
    <filterColumn colId="7" showButton="0"/>
    <filterColumn colId="8" showButton="0"/>
    <filterColumn colId="10" showButton="0"/>
    <filterColumn colId="11" showButton="0"/>
    <filterColumn colId="13" showButton="0"/>
    <filterColumn colId="14" showButton="0"/>
    <filterColumn colId="15" showButton="0"/>
    <filterColumn colId="19" showButton="0"/>
    <filterColumn colId="20" showButton="0"/>
    <filterColumn colId="21" showButton="0"/>
    <filterColumn colId="26" showButton="0"/>
    <filterColumn colId="27" showButton="0"/>
    <filterColumn colId="30" showButton="0"/>
    <filterColumn colId="31" showButton="0"/>
    <filterColumn colId="32" showButton="0"/>
    <filterColumn colId="33" showButton="0"/>
  </autoFilter>
  <dataConsolidate link="1"/>
  <mergeCells count="23">
    <mergeCell ref="T7:Z7"/>
    <mergeCell ref="AA7:AI7"/>
    <mergeCell ref="A1:J1"/>
    <mergeCell ref="Z8:Z9"/>
    <mergeCell ref="C8:C9"/>
    <mergeCell ref="S8:S9"/>
    <mergeCell ref="R8:R9"/>
    <mergeCell ref="X8:X9"/>
    <mergeCell ref="K8:M8"/>
    <mergeCell ref="A8:A9"/>
    <mergeCell ref="B8:B9"/>
    <mergeCell ref="N8:Q8"/>
    <mergeCell ref="T8:W8"/>
    <mergeCell ref="A7:S7"/>
    <mergeCell ref="AA8:AC8"/>
    <mergeCell ref="AE8:AI9"/>
    <mergeCell ref="Y24:Y25"/>
    <mergeCell ref="Z24:Z25"/>
    <mergeCell ref="AE10:AI10"/>
    <mergeCell ref="E8:E9"/>
    <mergeCell ref="F8:J8"/>
    <mergeCell ref="AD8:AD9"/>
    <mergeCell ref="Y8:Y9"/>
  </mergeCells>
  <dataValidations count="19">
    <dataValidation type="list" allowBlank="1" showInputMessage="1" showErrorMessage="1" errorTitle="X-Author for Excel" error="Please select a value from the drop-down." promptTitle="X-Author for Excel" sqref="D10:D17">
      <formula1>IF(IFERROR(ROWS(INDIRECT(SUBSTITUTE("AIM_Coverage_Indicator__c.AIM_Geographic_Coverage__c"," ","_"))),-1) &lt; 0, XAuthorInvalidPicklistData,INDIRECT(SUBSTITUTE("AIM_Coverage_Indicator__c.AIM_Geographic_Coverage__c"," ","_")))</formula1>
    </dataValidation>
    <dataValidation type="list" allowBlank="1" showInputMessage="1" showErrorMessage="1" errorTitle="X-Author for Excel" error="Please select a value from the drop-down." promptTitle="X-Author for Excel" sqref="E10:E17">
      <formula1>IF(IFERROR(ROWS(INDIRECT(SUBSTITUTE("AIM_Coverage_Indicator__c.AIM_Cumulation_Type__c"," ","_"))),-1) &lt; 0, XAuthorInvalidPicklistData,INDIRECT(SUBSTITUTE("AIM_Coverage_Indicator__c.AIM_Cumulation_Type__c"," ","_")))</formula1>
    </dataValidation>
    <dataValidation type="decimal" allowBlank="1" showInputMessage="1" showErrorMessage="1" errorTitle="X-Author for Excel" error="Please enter a valid numeric value. Valid range for Baseline N# is -9999999999 to 9999999999." promptTitle="X-Author for Excel" sqref="F10:F17">
      <formula1>-9999999999</formula1>
      <formula2>9999999999</formula2>
    </dataValidation>
    <dataValidation type="decimal" allowBlank="1" showInputMessage="1" showErrorMessage="1" errorTitle="X-Author for Excel" error="Please enter a valid numeric value. Valid range for Baseline D# is -9999999999 to 9999999999." promptTitle="X-Author for Excel" sqref="G10:G17">
      <formula1>-9999999999</formula1>
      <formula2>9999999999</formula2>
    </dataValidation>
    <dataValidation type="decimal" allowBlank="1" showInputMessage="1" showErrorMessage="1" errorTitle="X-Author for Excel" error="Please enter a valid numeric value. Valid range for Baseline % is -9999999999 to 9999999999." promptTitle="X-Author for Excel" sqref="H10:H17">
      <formula1>-9999999999</formula1>
      <formula2>9999999999</formula2>
    </dataValidation>
    <dataValidation type="list" allowBlank="1" showInputMessage="1" showErrorMessage="1" errorTitle="X-Author for Excel" error="Please select a value from the drop-down." promptTitle="X-Author for Excel" sqref="I10:I17">
      <formula1>IF(IFERROR(ROWS(INDIRECT(SUBSTITUTE("AIM_Coverage_Indicator__c.AIM_Year__c"," ","_"))),-1) &lt; 0, XAuthorInvalidPicklistData,INDIRECT(SUBSTITUTE("AIM_Coverage_Indicator__c.AIM_Year__c"," ","_")))</formula1>
    </dataValidation>
    <dataValidation type="decimal" allowBlank="1" showInputMessage="1" showErrorMessage="1" errorTitle="X-Author for Excel" error="Please enter a valid numeric value. Valid range for Target N# is -9999999999 to 9999999999." promptTitle="X-Author for Excel" sqref="K10:K17">
      <formula1>-9999999999</formula1>
      <formula2>9999999999</formula2>
    </dataValidation>
    <dataValidation type="decimal" allowBlank="1" showInputMessage="1" showErrorMessage="1" errorTitle="X-Author for Excel" error="Please enter a valid numeric value. Valid range for Target D# is -9999999999 to 9999999999." promptTitle="X-Author for Excel" sqref="L10:L17">
      <formula1>-9999999999</formula1>
      <formula2>9999999999</formula2>
    </dataValidation>
    <dataValidation type="decimal" allowBlank="1" showInputMessage="1" showErrorMessage="1" errorTitle="X-Author for Excel" error="Please enter a valid numeric value. Valid range for Target % is -999 to 999." promptTitle="X-Author for Excel" sqref="M10:M17">
      <formula1>-999</formula1>
      <formula2>999</formula2>
    </dataValidation>
    <dataValidation type="decimal" allowBlank="1" showInputMessage="1" showErrorMessage="1" errorTitle="X-Author for Excel" error="Please enter a valid numeric value. Valid range for Result N#  (PR) is -9999999999 to 9999999999." promptTitle="X-Author for Excel" sqref="N10:N17">
      <formula1>-9999999999</formula1>
      <formula2>9999999999</formula2>
    </dataValidation>
    <dataValidation type="decimal" allowBlank="1" showInputMessage="1" showErrorMessage="1" errorTitle="X-Author for Excel" error="Please enter a valid numeric value. Valid range for Result D# (PR) is -9999999999 to 9999999999." promptTitle="X-Author for Excel" sqref="O10:O17">
      <formula1>-9999999999</formula1>
      <formula2>9999999999</formula2>
    </dataValidation>
    <dataValidation type="decimal" allowBlank="1" showInputMessage="1" showErrorMessage="1" errorTitle="X-Author for Excel" error="Please enter a valid numeric value. Valid range for Result % (PR) is -999 to 999." promptTitle="X-Author for Excel" sqref="P10:P17">
      <formula1>-999</formula1>
      <formula2>999</formula2>
    </dataValidation>
    <dataValidation type="list" allowBlank="1" showInputMessage="1" showErrorMessage="1" errorTitle="X-Author for Excel" error="Please select a value from the drop-down." promptTitle="X-Author for Excel" sqref="Q10:Q17">
      <formula1>IF(IFERROR(ROWS(INDIRECT(SUBSTITUTE("AIM_Coverage_Indicator_Targets_Results__c.AIM_Data_Source_Result_PR__c"," ","_"))),-1) &lt; 0, XAuthorInvalidPicklistData,INDIRECT(SUBSTITUTE("AIM_Coverage_Indicator_Targets_Results__c.AIM_Data_Source_Result_PR__c"," ","_")))</formula1>
    </dataValidation>
    <dataValidation type="decimal" allowBlank="1" showInputMessage="1" showErrorMessage="1" errorTitle="X-Author for Excel" error="Please enter a valid numeric value. Valid range for Verified Result N# (LFA) is -9999999999 to 9999999999." promptTitle="X-Author for Excel" sqref="T10:T17">
      <formula1>-9999999999</formula1>
      <formula2>9999999999</formula2>
    </dataValidation>
    <dataValidation type="decimal" allowBlank="1" showInputMessage="1" showErrorMessage="1" errorTitle="X-Author for Excel" error="Please enter a valid numeric value. Valid range for Verified Result D# (LFA) is -9999999999 to 9999999999." promptTitle="X-Author for Excel" sqref="U10:U17">
      <formula1>-9999999999</formula1>
      <formula2>9999999999</formula2>
    </dataValidation>
    <dataValidation type="decimal" allowBlank="1" showInputMessage="1" showErrorMessage="1" errorTitle="X-Author for Excel" error="Please enter a valid numeric value. Valid range for Verified Result % (LFA) is -999 to 999." promptTitle="X-Author for Excel" sqref="V10:V17">
      <formula1>-999</formula1>
      <formula2>999</formula2>
    </dataValidation>
    <dataValidation type="list" allowBlank="1" showInputMessage="1" showErrorMessage="1" errorTitle="X-Author for Excel" error="Please select a value from the drop-down." promptTitle="X-Author for Excel" sqref="W10:W17">
      <formula1>IF(IFERROR(ROWS(INDIRECT(SUBSTITUTE("AIM_Coverage_Indicator_Targets_Results__c.AIM_Data_Source_Result_LFA__c"," ","_"))),-1) &lt; 0, XAuthorInvalidPicklistData,INDIRECT(SUBSTITUTE("AIM_Coverage_Indicator_Targets_Results__c.AIM_Data_Source_Result_LFA__c"," ","_")))</formula1>
    </dataValidation>
    <dataValidation type="list" allowBlank="1" showInputMessage="1" showErrorMessage="1" errorTitle="X-Author for Excel" error="Please select a value from the drop-down." promptTitle="X-Author for Excel" sqref="Y10:Y17">
      <formula1>IF(IFERROR(ROWS(INDIRECT(SUBSTITUTE("AIM_Coverage_Indicator_Targets_Results__c.AIM_Verification_Method_LFA__c"," ","_"))),-1) &lt; 0, XAuthorInvalidPicklistData,INDIRECT(SUBSTITUTE("AIM_Coverage_Indicator_Targets_Results__c.AIM_Verification_Method_LFA__c"," ","_")))</formula1>
    </dataValidation>
    <dataValidation type="custom" allowBlank="1" showInputMessage="1" showErrorMessage="1" errorTitle="X-Author for Excel" error="Id and Lookup fields are not editable." promptTitle="X-Author for Excel" sqref="AJ10:AJ17">
      <formula1>""</formula1>
    </dataValidation>
  </dataValidations>
  <printOptions horizontalCentered="1" verticalCentered="1"/>
  <pageMargins left="0.23622047244094491" right="0.23622047244094491" top="0.74803149606299213" bottom="0.74803149606299213" header="0.31496062992125984" footer="0.31496062992125984"/>
  <pageSetup paperSize="9" scale="23" orientation="landscape" cellComments="asDisplayed" r:id="rId1"/>
  <headerFooter alignWithMargins="0">
    <oddFooter>&amp;L&amp;A&amp;R&amp;P</oddFooter>
  </headerFooter>
  <colBreaks count="1" manualBreakCount="1">
    <brk id="26" max="11"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8">
    <tabColor rgb="FF00FF00"/>
  </sheetPr>
  <dimension ref="A1:AQ36"/>
  <sheetViews>
    <sheetView showGridLines="0" tabSelected="1" view="pageBreakPreview" topLeftCell="B22" zoomScale="83" zoomScaleNormal="70" zoomScaleSheetLayoutView="83" workbookViewId="0">
      <selection activeCell="L25" sqref="L25"/>
    </sheetView>
  </sheetViews>
  <sheetFormatPr defaultColWidth="9.140625" defaultRowHeight="12.75" x14ac:dyDescent="0.2"/>
  <cols>
    <col min="1" max="1" width="27.140625" style="100" customWidth="1"/>
    <col min="2" max="2" width="40.85546875" style="94" customWidth="1"/>
    <col min="3" max="3" width="21.42578125" style="94" customWidth="1"/>
    <col min="4" max="4" width="0.42578125" style="94" hidden="1" customWidth="1"/>
    <col min="5" max="5" width="18.42578125" style="100" customWidth="1"/>
    <col min="6" max="7" width="15.85546875" style="149" customWidth="1"/>
    <col min="8" max="8" width="16.5703125" style="149" customWidth="1"/>
    <col min="9" max="9" width="11.85546875" style="149" customWidth="1"/>
    <col min="10" max="10" width="18.85546875" style="149" customWidth="1"/>
    <col min="11" max="11" width="20.85546875" style="149" customWidth="1"/>
    <col min="12" max="13" width="19.85546875" style="149" customWidth="1"/>
    <col min="14" max="14" width="15" style="149" customWidth="1"/>
    <col min="15" max="15" width="55.140625" style="94" customWidth="1"/>
    <col min="16" max="16" width="20.5703125" style="149" bestFit="1" customWidth="1"/>
    <col min="17" max="17" width="20.42578125" style="149" bestFit="1" customWidth="1"/>
    <col min="18" max="18" width="20.42578125" style="149" customWidth="1"/>
    <col min="19" max="19" width="15" style="149" bestFit="1" customWidth="1"/>
    <col min="20" max="20" width="56.85546875" style="94" customWidth="1"/>
    <col min="21" max="21" width="18.85546875" style="94" hidden="1" customWidth="1"/>
    <col min="22" max="22" width="72.140625" style="94" hidden="1" customWidth="1"/>
    <col min="23" max="24" width="27.140625" style="365" hidden="1" customWidth="1"/>
    <col min="25" max="25" width="0.42578125" style="94" customWidth="1"/>
    <col min="26" max="26" width="27.140625" style="443" customWidth="1"/>
    <col min="27" max="43" width="9.140625" style="98"/>
    <col min="44" max="16384" width="9.140625" style="94"/>
  </cols>
  <sheetData>
    <row r="1" spans="1:43" s="19" customFormat="1" ht="43.5" customHeight="1" x14ac:dyDescent="0.2">
      <c r="A1" s="1453" t="str">
        <f>IF(CoverSheet!J12="N/A","Progress Report","Progress Report with Disbursement Request")</f>
        <v>Progress Report with Disbursement Request</v>
      </c>
      <c r="B1" s="1453"/>
      <c r="C1" s="1453"/>
      <c r="D1" s="1453"/>
      <c r="E1" s="1453"/>
      <c r="F1" s="1453"/>
      <c r="G1" s="1453"/>
      <c r="H1" s="1453"/>
      <c r="I1" s="152"/>
      <c r="J1" s="153"/>
      <c r="K1" s="153"/>
      <c r="L1" s="153"/>
      <c r="M1" s="153"/>
      <c r="N1" s="153"/>
      <c r="P1" s="153"/>
      <c r="Q1" s="153"/>
      <c r="R1" s="153"/>
      <c r="S1" s="153"/>
      <c r="W1" s="366"/>
      <c r="X1" s="366"/>
      <c r="Z1" s="430"/>
      <c r="AA1" s="46"/>
      <c r="AB1" s="46"/>
      <c r="AC1" s="46"/>
      <c r="AD1" s="46"/>
      <c r="AE1" s="46"/>
      <c r="AF1" s="46"/>
      <c r="AG1" s="46"/>
      <c r="AH1" s="46"/>
      <c r="AI1" s="46"/>
      <c r="AJ1" s="46"/>
      <c r="AK1" s="46"/>
      <c r="AL1" s="46"/>
      <c r="AM1" s="46"/>
      <c r="AN1" s="46"/>
      <c r="AO1" s="46"/>
      <c r="AP1" s="46"/>
      <c r="AQ1" s="46"/>
    </row>
    <row r="2" spans="1:43" s="86" customFormat="1" ht="30" customHeight="1" x14ac:dyDescent="0.2">
      <c r="A2" s="119" t="s">
        <v>168</v>
      </c>
      <c r="B2" s="95"/>
      <c r="C2" s="95"/>
      <c r="D2" s="95"/>
      <c r="E2" s="151"/>
      <c r="F2" s="150"/>
      <c r="G2" s="150"/>
      <c r="H2" s="150"/>
      <c r="I2" s="150"/>
      <c r="J2" s="150"/>
      <c r="K2" s="150"/>
      <c r="L2" s="150"/>
      <c r="M2" s="150"/>
      <c r="N2" s="150"/>
      <c r="O2" s="95"/>
      <c r="P2" s="150"/>
      <c r="Q2" s="150"/>
      <c r="R2" s="150"/>
      <c r="S2" s="150"/>
      <c r="T2" s="95"/>
      <c r="U2" s="95"/>
      <c r="V2" s="95"/>
      <c r="W2" s="367"/>
      <c r="X2" s="367"/>
      <c r="Y2" s="95"/>
      <c r="Z2" s="509"/>
      <c r="AA2" s="510"/>
      <c r="AB2" s="510"/>
      <c r="AC2" s="510"/>
      <c r="AD2" s="510"/>
      <c r="AE2" s="510"/>
      <c r="AF2" s="510"/>
      <c r="AG2" s="510"/>
      <c r="AH2" s="510"/>
      <c r="AI2" s="510"/>
      <c r="AJ2" s="510"/>
      <c r="AK2" s="510"/>
      <c r="AL2" s="510"/>
      <c r="AM2" s="510"/>
      <c r="AN2" s="510"/>
      <c r="AO2" s="510"/>
      <c r="AP2" s="510"/>
      <c r="AQ2" s="510"/>
    </row>
    <row r="3" spans="1:43" ht="16.5" customHeight="1" thickBot="1" x14ac:dyDescent="0.25">
      <c r="A3" s="99"/>
      <c r="B3" s="98"/>
      <c r="C3" s="98"/>
      <c r="D3" s="98"/>
      <c r="E3" s="99"/>
      <c r="F3" s="96"/>
      <c r="G3" s="96"/>
      <c r="H3" s="96"/>
      <c r="I3" s="96"/>
      <c r="J3" s="96"/>
      <c r="K3" s="96"/>
      <c r="L3" s="96"/>
      <c r="M3" s="96"/>
      <c r="N3" s="96"/>
      <c r="O3" s="98"/>
    </row>
    <row r="4" spans="1:43" ht="39" customHeight="1" thickBot="1" x14ac:dyDescent="0.25">
      <c r="A4" s="1456" t="s">
        <v>173</v>
      </c>
      <c r="B4" s="1457"/>
      <c r="C4" s="1457"/>
      <c r="D4" s="1457"/>
      <c r="E4" s="1457"/>
      <c r="F4" s="1457"/>
      <c r="G4" s="1457"/>
      <c r="H4" s="1457"/>
      <c r="I4" s="1457"/>
      <c r="J4" s="1457"/>
      <c r="K4" s="1457"/>
      <c r="L4" s="1457"/>
      <c r="M4" s="1457"/>
      <c r="N4" s="1457"/>
      <c r="O4" s="1458"/>
      <c r="P4" s="1455"/>
      <c r="Q4" s="1455"/>
      <c r="R4" s="1455"/>
      <c r="S4" s="1455"/>
      <c r="T4" s="1455"/>
      <c r="U4" s="1454" t="s">
        <v>101</v>
      </c>
      <c r="V4" s="1422"/>
      <c r="W4" s="441"/>
      <c r="X4" s="441"/>
      <c r="Y4" s="442"/>
    </row>
    <row r="5" spans="1:43" ht="29.25" customHeight="1" x14ac:dyDescent="0.2">
      <c r="A5" s="1431" t="s">
        <v>69</v>
      </c>
      <c r="B5" s="1435" t="s">
        <v>535</v>
      </c>
      <c r="C5" s="1435" t="s">
        <v>93</v>
      </c>
      <c r="D5" s="1435"/>
      <c r="E5" s="1432" t="s">
        <v>21</v>
      </c>
      <c r="F5" s="1435" t="s">
        <v>99</v>
      </c>
      <c r="G5" s="1462"/>
      <c r="H5" s="1462"/>
      <c r="I5" s="1462"/>
      <c r="J5" s="1462"/>
      <c r="K5" s="1435" t="s">
        <v>92</v>
      </c>
      <c r="L5" s="1435"/>
      <c r="M5" s="1435"/>
      <c r="N5" s="1435"/>
      <c r="O5" s="1435" t="s">
        <v>27</v>
      </c>
      <c r="P5" s="1418" t="s">
        <v>98</v>
      </c>
      <c r="Q5" s="1418"/>
      <c r="R5" s="1418"/>
      <c r="S5" s="1418"/>
      <c r="T5" s="1418" t="s">
        <v>27</v>
      </c>
      <c r="U5" s="1441" t="s">
        <v>209</v>
      </c>
      <c r="V5" s="1459" t="s">
        <v>211</v>
      </c>
      <c r="W5" s="443"/>
      <c r="X5" s="443"/>
      <c r="Y5" s="444"/>
    </row>
    <row r="6" spans="1:43" ht="72" customHeight="1" x14ac:dyDescent="0.2">
      <c r="A6" s="1438"/>
      <c r="B6" s="1448"/>
      <c r="C6" s="1448"/>
      <c r="D6" s="1451"/>
      <c r="E6" s="1401"/>
      <c r="F6" s="1201" t="s">
        <v>95</v>
      </c>
      <c r="G6" s="1201" t="s">
        <v>96</v>
      </c>
      <c r="H6" s="1201" t="s">
        <v>97</v>
      </c>
      <c r="I6" s="1201" t="s">
        <v>323</v>
      </c>
      <c r="J6" s="1201" t="s">
        <v>358</v>
      </c>
      <c r="K6" s="1201" t="s">
        <v>95</v>
      </c>
      <c r="L6" s="1201" t="s">
        <v>96</v>
      </c>
      <c r="M6" s="1201" t="s">
        <v>97</v>
      </c>
      <c r="N6" s="1201" t="s">
        <v>358</v>
      </c>
      <c r="O6" s="1448"/>
      <c r="P6" s="1231" t="s">
        <v>95</v>
      </c>
      <c r="Q6" s="1231" t="s">
        <v>96</v>
      </c>
      <c r="R6" s="1231" t="s">
        <v>97</v>
      </c>
      <c r="S6" s="1231" t="s">
        <v>358</v>
      </c>
      <c r="T6" s="1461"/>
      <c r="U6" s="1442"/>
      <c r="V6" s="1460"/>
      <c r="W6" s="1243" t="s">
        <v>356</v>
      </c>
      <c r="X6" s="443"/>
      <c r="Y6" s="444"/>
    </row>
    <row r="7" spans="1:43" ht="30" hidden="1" x14ac:dyDescent="0.2">
      <c r="A7" s="1244" t="s">
        <v>314</v>
      </c>
      <c r="B7" s="1202" t="s">
        <v>315</v>
      </c>
      <c r="C7" s="1202" t="s">
        <v>305</v>
      </c>
      <c r="D7" s="1245" t="e">
        <f>SUBSTITUTE(SUBSTITUTE(SUBSTITUTE(CONCATENATE(#REF!,$C7)," ",""),"/",""),"-","")</f>
        <v>#REF!</v>
      </c>
      <c r="E7" s="1202" t="s">
        <v>306</v>
      </c>
      <c r="F7" s="1246" t="s">
        <v>319</v>
      </c>
      <c r="G7" s="1246" t="s">
        <v>320</v>
      </c>
      <c r="H7" s="1247" t="s">
        <v>321</v>
      </c>
      <c r="I7" s="1202" t="s">
        <v>322</v>
      </c>
      <c r="J7" s="1202" t="s">
        <v>307</v>
      </c>
      <c r="K7" s="1239" t="s">
        <v>331</v>
      </c>
      <c r="L7" s="1239" t="s">
        <v>328</v>
      </c>
      <c r="M7" s="1237" t="str">
        <f>IFERROR((K7/L7)*100,"")</f>
        <v/>
      </c>
      <c r="N7" s="1185" t="s">
        <v>332</v>
      </c>
      <c r="O7" s="1197" t="s">
        <v>296</v>
      </c>
      <c r="P7" s="1239" t="s">
        <v>335</v>
      </c>
      <c r="Q7" s="1239" t="s">
        <v>334</v>
      </c>
      <c r="R7" s="1237" t="str">
        <f>IFERROR((P7/Q7)*100,"")</f>
        <v/>
      </c>
      <c r="S7" s="1185" t="s">
        <v>333</v>
      </c>
      <c r="T7" s="1197" t="s">
        <v>300</v>
      </c>
      <c r="U7" s="1248" t="e">
        <f>#REF!</f>
        <v>#REF!</v>
      </c>
      <c r="V7" s="1249"/>
      <c r="W7" s="1250" t="s">
        <v>355</v>
      </c>
      <c r="X7" s="499"/>
      <c r="Y7" s="500"/>
    </row>
    <row r="8" spans="1:43" ht="60" x14ac:dyDescent="0.2">
      <c r="A8" s="1244" t="s">
        <v>1012</v>
      </c>
      <c r="B8" s="1202" t="s">
        <v>1013</v>
      </c>
      <c r="C8" s="1202" t="s">
        <v>1026</v>
      </c>
      <c r="D8" s="1245" t="e">
        <f>SUBSTITUTE(SUBSTITUTE(SUBSTITUTE(CONCATENATE(#REF!,$C8)," ",""),"/",""),"-","")</f>
        <v>#REF!</v>
      </c>
      <c r="E8" s="1202" t="s">
        <v>1027</v>
      </c>
      <c r="F8" s="1246">
        <v>441</v>
      </c>
      <c r="G8" s="1246">
        <v>547</v>
      </c>
      <c r="H8" s="1247">
        <v>80.6215722120658</v>
      </c>
      <c r="I8" s="1202" t="s">
        <v>831</v>
      </c>
      <c r="J8" s="1202" t="s">
        <v>1003</v>
      </c>
      <c r="K8" s="1239">
        <v>350</v>
      </c>
      <c r="L8" s="1239">
        <v>449</v>
      </c>
      <c r="M8" s="1237">
        <f t="shared" ref="M8:M24" si="0">IFERROR((K8/L8)*100,"")</f>
        <v>77.9510022271715</v>
      </c>
      <c r="N8" s="1185" t="s">
        <v>863</v>
      </c>
      <c r="O8" s="1197" t="s">
        <v>1702</v>
      </c>
      <c r="P8" s="1239"/>
      <c r="Q8" s="1239"/>
      <c r="R8" s="1237" t="str">
        <f t="shared" ref="R8:R24" si="1">IFERROR((P8/Q8)*100,"")</f>
        <v/>
      </c>
      <c r="S8" s="1185"/>
      <c r="T8" s="1197"/>
      <c r="U8" s="1248" t="e">
        <f>#REF!</f>
        <v>#REF!</v>
      </c>
      <c r="V8" s="1249"/>
      <c r="W8" s="1250" t="s">
        <v>1028</v>
      </c>
      <c r="X8" s="499"/>
      <c r="Y8" s="500"/>
    </row>
    <row r="9" spans="1:43" ht="60" x14ac:dyDescent="0.2">
      <c r="A9" s="1244" t="s">
        <v>1012</v>
      </c>
      <c r="B9" s="1202" t="s">
        <v>1013</v>
      </c>
      <c r="C9" s="1202" t="s">
        <v>1029</v>
      </c>
      <c r="D9" s="1245" t="e">
        <f>SUBSTITUTE(SUBSTITUTE(SUBSTITUTE(CONCATENATE(#REF!,$C9)," ",""),"/",""),"-","")</f>
        <v>#REF!</v>
      </c>
      <c r="E9" s="1202" t="s">
        <v>1027</v>
      </c>
      <c r="F9" s="1246">
        <v>106</v>
      </c>
      <c r="G9" s="1246">
        <v>547</v>
      </c>
      <c r="H9" s="1247">
        <v>19.3784277879342</v>
      </c>
      <c r="I9" s="1202" t="s">
        <v>831</v>
      </c>
      <c r="J9" s="1202" t="s">
        <v>1003</v>
      </c>
      <c r="K9" s="1239">
        <v>99</v>
      </c>
      <c r="L9" s="1239">
        <v>449</v>
      </c>
      <c r="M9" s="1237">
        <f t="shared" si="0"/>
        <v>22.048997772828507</v>
      </c>
      <c r="N9" s="1185" t="s">
        <v>863</v>
      </c>
      <c r="O9" s="1197" t="s">
        <v>1702</v>
      </c>
      <c r="P9" s="1239"/>
      <c r="Q9" s="1239"/>
      <c r="R9" s="1237" t="str">
        <f t="shared" si="1"/>
        <v/>
      </c>
      <c r="S9" s="1185"/>
      <c r="T9" s="1197"/>
      <c r="U9" s="1248" t="e">
        <f>#REF!</f>
        <v>#REF!</v>
      </c>
      <c r="V9" s="1249"/>
      <c r="W9" s="1250" t="s">
        <v>1030</v>
      </c>
      <c r="X9" s="499"/>
      <c r="Y9" s="500"/>
    </row>
    <row r="10" spans="1:43" ht="60" x14ac:dyDescent="0.2">
      <c r="A10" s="1244" t="s">
        <v>1012</v>
      </c>
      <c r="B10" s="1202" t="s">
        <v>1013</v>
      </c>
      <c r="C10" s="1202" t="s">
        <v>1031</v>
      </c>
      <c r="D10" s="1245" t="e">
        <f>SUBSTITUTE(SUBSTITUTE(SUBSTITUTE(CONCATENATE(#REF!,$C10)," ",""),"/",""),"-","")</f>
        <v>#REF!</v>
      </c>
      <c r="E10" s="1202" t="s">
        <v>1032</v>
      </c>
      <c r="F10" s="1246">
        <v>1</v>
      </c>
      <c r="G10" s="1246">
        <v>547</v>
      </c>
      <c r="H10" s="1247">
        <v>0.18281535648994501</v>
      </c>
      <c r="I10" s="1202" t="s">
        <v>831</v>
      </c>
      <c r="J10" s="1202" t="s">
        <v>1003</v>
      </c>
      <c r="K10" s="1239">
        <v>1</v>
      </c>
      <c r="L10" s="1239">
        <v>449</v>
      </c>
      <c r="M10" s="1237">
        <f t="shared" si="0"/>
        <v>0.22271714922048996</v>
      </c>
      <c r="N10" s="1185" t="s">
        <v>863</v>
      </c>
      <c r="O10" s="1197" t="s">
        <v>1702</v>
      </c>
      <c r="P10" s="1239"/>
      <c r="Q10" s="1239"/>
      <c r="R10" s="1237" t="str">
        <f t="shared" si="1"/>
        <v/>
      </c>
      <c r="S10" s="1185"/>
      <c r="T10" s="1197"/>
      <c r="U10" s="1248" t="e">
        <f>#REF!</f>
        <v>#REF!</v>
      </c>
      <c r="V10" s="1249"/>
      <c r="W10" s="1250" t="s">
        <v>1033</v>
      </c>
      <c r="X10" s="499"/>
      <c r="Y10" s="500"/>
    </row>
    <row r="11" spans="1:43" ht="60" x14ac:dyDescent="0.2">
      <c r="A11" s="1244" t="s">
        <v>1012</v>
      </c>
      <c r="B11" s="1202" t="s">
        <v>1013</v>
      </c>
      <c r="C11" s="1202" t="s">
        <v>1034</v>
      </c>
      <c r="D11" s="1245" t="e">
        <f>SUBSTITUTE(SUBSTITUTE(SUBSTITUTE(CONCATENATE(#REF!,$C11)," ",""),"/",""),"-","")</f>
        <v>#REF!</v>
      </c>
      <c r="E11" s="1202" t="s">
        <v>1032</v>
      </c>
      <c r="F11" s="1246">
        <v>546</v>
      </c>
      <c r="G11" s="1246">
        <v>547</v>
      </c>
      <c r="H11" s="1247">
        <v>99.817184643510103</v>
      </c>
      <c r="I11" s="1202" t="s">
        <v>831</v>
      </c>
      <c r="J11" s="1202" t="s">
        <v>1003</v>
      </c>
      <c r="K11" s="1239">
        <v>448</v>
      </c>
      <c r="L11" s="1239">
        <v>449</v>
      </c>
      <c r="M11" s="1237">
        <f t="shared" si="0"/>
        <v>99.777282850779514</v>
      </c>
      <c r="N11" s="1185" t="s">
        <v>863</v>
      </c>
      <c r="O11" s="1197" t="s">
        <v>1702</v>
      </c>
      <c r="P11" s="1239"/>
      <c r="Q11" s="1239"/>
      <c r="R11" s="1237" t="str">
        <f t="shared" si="1"/>
        <v/>
      </c>
      <c r="S11" s="1185"/>
      <c r="T11" s="1197"/>
      <c r="U11" s="1248" t="e">
        <f>#REF!</f>
        <v>#REF!</v>
      </c>
      <c r="V11" s="1249"/>
      <c r="W11" s="1250" t="s">
        <v>1035</v>
      </c>
      <c r="X11" s="499"/>
      <c r="Y11" s="500"/>
    </row>
    <row r="12" spans="1:43" ht="45" x14ac:dyDescent="0.2">
      <c r="A12" s="1244" t="s">
        <v>1012</v>
      </c>
      <c r="B12" s="1202" t="s">
        <v>1015</v>
      </c>
      <c r="C12" s="1202" t="s">
        <v>1036</v>
      </c>
      <c r="D12" s="1245" t="e">
        <f>SUBSTITUTE(SUBSTITUTE(SUBSTITUTE(CONCATENATE(#REF!,$C12)," ",""),"/",""),"-","")</f>
        <v>#REF!</v>
      </c>
      <c r="E12" s="1202" t="s">
        <v>1037</v>
      </c>
      <c r="F12" s="1246">
        <v>0</v>
      </c>
      <c r="G12" s="1246">
        <v>0</v>
      </c>
      <c r="H12" s="1247">
        <v>0</v>
      </c>
      <c r="I12" s="1202"/>
      <c r="J12" s="1202"/>
      <c r="K12" s="1239">
        <v>442</v>
      </c>
      <c r="L12" s="1239">
        <v>449</v>
      </c>
      <c r="M12" s="1237">
        <f t="shared" si="0"/>
        <v>98.440979955456569</v>
      </c>
      <c r="N12" s="1185" t="s">
        <v>863</v>
      </c>
      <c r="O12" s="1197" t="s">
        <v>1702</v>
      </c>
      <c r="P12" s="1239"/>
      <c r="Q12" s="1239"/>
      <c r="R12" s="1237" t="str">
        <f t="shared" si="1"/>
        <v/>
      </c>
      <c r="S12" s="1185"/>
      <c r="T12" s="1197"/>
      <c r="U12" s="1248" t="e">
        <f>#REF!</f>
        <v>#REF!</v>
      </c>
      <c r="V12" s="1249"/>
      <c r="W12" s="1250" t="s">
        <v>1038</v>
      </c>
      <c r="X12" s="499"/>
      <c r="Y12" s="500"/>
    </row>
    <row r="13" spans="1:43" ht="45" x14ac:dyDescent="0.2">
      <c r="A13" s="1244" t="s">
        <v>1012</v>
      </c>
      <c r="B13" s="1202" t="s">
        <v>1015</v>
      </c>
      <c r="C13" s="1202" t="s">
        <v>1039</v>
      </c>
      <c r="D13" s="1245" t="e">
        <f>SUBSTITUTE(SUBSTITUTE(SUBSTITUTE(CONCATENATE(#REF!,$C13)," ",""),"/",""),"-","")</f>
        <v>#REF!</v>
      </c>
      <c r="E13" s="1202" t="s">
        <v>1037</v>
      </c>
      <c r="F13" s="1246">
        <v>0</v>
      </c>
      <c r="G13" s="1246">
        <v>0</v>
      </c>
      <c r="H13" s="1247">
        <v>0</v>
      </c>
      <c r="I13" s="1202"/>
      <c r="J13" s="1202"/>
      <c r="K13" s="1239">
        <v>0</v>
      </c>
      <c r="L13" s="1239"/>
      <c r="M13" s="1237" t="str">
        <f t="shared" si="0"/>
        <v/>
      </c>
      <c r="N13" s="1185"/>
      <c r="O13" s="1197" t="s">
        <v>1689</v>
      </c>
      <c r="P13" s="1239"/>
      <c r="Q13" s="1239"/>
      <c r="R13" s="1237" t="str">
        <f t="shared" si="1"/>
        <v/>
      </c>
      <c r="S13" s="1185"/>
      <c r="T13" s="1197"/>
      <c r="U13" s="1248" t="e">
        <f>#REF!</f>
        <v>#REF!</v>
      </c>
      <c r="V13" s="1249"/>
      <c r="W13" s="1250" t="s">
        <v>1040</v>
      </c>
      <c r="X13" s="499"/>
      <c r="Y13" s="500"/>
    </row>
    <row r="14" spans="1:43" ht="45" x14ac:dyDescent="0.2">
      <c r="A14" s="1244" t="s">
        <v>1012</v>
      </c>
      <c r="B14" s="1202" t="s">
        <v>1015</v>
      </c>
      <c r="C14" s="1202" t="s">
        <v>1026</v>
      </c>
      <c r="D14" s="1245" t="e">
        <f>SUBSTITUTE(SUBSTITUTE(SUBSTITUTE(CONCATENATE(#REF!,$C14)," ",""),"/",""),"-","")</f>
        <v>#REF!</v>
      </c>
      <c r="E14" s="1202" t="s">
        <v>1027</v>
      </c>
      <c r="F14" s="1246">
        <v>0</v>
      </c>
      <c r="G14" s="1246">
        <v>0</v>
      </c>
      <c r="H14" s="1247">
        <v>0</v>
      </c>
      <c r="I14" s="1202"/>
      <c r="J14" s="1202"/>
      <c r="K14" s="1239">
        <v>344</v>
      </c>
      <c r="L14" s="1239">
        <v>442</v>
      </c>
      <c r="M14" s="1237">
        <f t="shared" si="0"/>
        <v>77.828054298642542</v>
      </c>
      <c r="N14" s="1185" t="s">
        <v>863</v>
      </c>
      <c r="O14" s="1197" t="s">
        <v>1702</v>
      </c>
      <c r="P14" s="1239"/>
      <c r="Q14" s="1239"/>
      <c r="R14" s="1237" t="str">
        <f t="shared" si="1"/>
        <v/>
      </c>
      <c r="S14" s="1185"/>
      <c r="T14" s="1197"/>
      <c r="U14" s="1248" t="e">
        <f>#REF!</f>
        <v>#REF!</v>
      </c>
      <c r="V14" s="1249"/>
      <c r="W14" s="1250" t="s">
        <v>1041</v>
      </c>
      <c r="X14" s="499"/>
      <c r="Y14" s="500"/>
    </row>
    <row r="15" spans="1:43" ht="45" x14ac:dyDescent="0.2">
      <c r="A15" s="1244" t="s">
        <v>1012</v>
      </c>
      <c r="B15" s="1202" t="s">
        <v>1015</v>
      </c>
      <c r="C15" s="1202" t="s">
        <v>1031</v>
      </c>
      <c r="D15" s="1245" t="e">
        <f>SUBSTITUTE(SUBSTITUTE(SUBSTITUTE(CONCATENATE(#REF!,$C15)," ",""),"/",""),"-","")</f>
        <v>#REF!</v>
      </c>
      <c r="E15" s="1202" t="s">
        <v>1032</v>
      </c>
      <c r="F15" s="1246">
        <v>0</v>
      </c>
      <c r="G15" s="1246">
        <v>0</v>
      </c>
      <c r="H15" s="1247">
        <v>0</v>
      </c>
      <c r="I15" s="1202"/>
      <c r="J15" s="1202"/>
      <c r="K15" s="1239">
        <v>1</v>
      </c>
      <c r="L15" s="1239">
        <v>442</v>
      </c>
      <c r="M15" s="1237">
        <f t="shared" si="0"/>
        <v>0.22624434389140274</v>
      </c>
      <c r="N15" s="1185" t="s">
        <v>863</v>
      </c>
      <c r="O15" s="1197" t="s">
        <v>1702</v>
      </c>
      <c r="P15" s="1239"/>
      <c r="Q15" s="1239"/>
      <c r="R15" s="1237" t="str">
        <f t="shared" si="1"/>
        <v/>
      </c>
      <c r="S15" s="1185"/>
      <c r="T15" s="1197"/>
      <c r="U15" s="1248" t="e">
        <f>#REF!</f>
        <v>#REF!</v>
      </c>
      <c r="V15" s="1249"/>
      <c r="W15" s="1250" t="s">
        <v>1042</v>
      </c>
      <c r="X15" s="499"/>
      <c r="Y15" s="500"/>
    </row>
    <row r="16" spans="1:43" ht="45" x14ac:dyDescent="0.2">
      <c r="A16" s="1244" t="s">
        <v>1012</v>
      </c>
      <c r="B16" s="1202" t="s">
        <v>1015</v>
      </c>
      <c r="C16" s="1202" t="s">
        <v>1034</v>
      </c>
      <c r="D16" s="1245" t="e">
        <f>SUBSTITUTE(SUBSTITUTE(SUBSTITUTE(CONCATENATE(#REF!,$C16)," ",""),"/",""),"-","")</f>
        <v>#REF!</v>
      </c>
      <c r="E16" s="1202" t="s">
        <v>1032</v>
      </c>
      <c r="F16" s="1246">
        <v>0</v>
      </c>
      <c r="G16" s="1246">
        <v>0</v>
      </c>
      <c r="H16" s="1247">
        <v>0</v>
      </c>
      <c r="I16" s="1202"/>
      <c r="J16" s="1202"/>
      <c r="K16" s="1239">
        <v>441</v>
      </c>
      <c r="L16" s="1239">
        <v>442</v>
      </c>
      <c r="M16" s="1237">
        <f t="shared" si="0"/>
        <v>99.773755656108591</v>
      </c>
      <c r="N16" s="1185" t="s">
        <v>863</v>
      </c>
      <c r="O16" s="1197" t="s">
        <v>1702</v>
      </c>
      <c r="P16" s="1239"/>
      <c r="Q16" s="1239"/>
      <c r="R16" s="1237" t="str">
        <f t="shared" si="1"/>
        <v/>
      </c>
      <c r="S16" s="1185"/>
      <c r="T16" s="1197"/>
      <c r="U16" s="1248" t="e">
        <f>#REF!</f>
        <v>#REF!</v>
      </c>
      <c r="V16" s="1249"/>
      <c r="W16" s="1250" t="s">
        <v>1043</v>
      </c>
      <c r="X16" s="499"/>
      <c r="Y16" s="500"/>
    </row>
    <row r="17" spans="1:25" ht="45" x14ac:dyDescent="0.2">
      <c r="A17" s="1244" t="s">
        <v>1012</v>
      </c>
      <c r="B17" s="1202" t="s">
        <v>1015</v>
      </c>
      <c r="C17" s="1202" t="s">
        <v>1029</v>
      </c>
      <c r="D17" s="1245" t="e">
        <f>SUBSTITUTE(SUBSTITUTE(SUBSTITUTE(CONCATENATE(#REF!,$C17)," ",""),"/",""),"-","")</f>
        <v>#REF!</v>
      </c>
      <c r="E17" s="1202" t="s">
        <v>1027</v>
      </c>
      <c r="F17" s="1246">
        <v>0</v>
      </c>
      <c r="G17" s="1246">
        <v>0</v>
      </c>
      <c r="H17" s="1247">
        <v>0</v>
      </c>
      <c r="I17" s="1202"/>
      <c r="J17" s="1202"/>
      <c r="K17" s="1239">
        <v>98</v>
      </c>
      <c r="L17" s="1239">
        <v>442</v>
      </c>
      <c r="M17" s="1237">
        <f t="shared" si="0"/>
        <v>22.171945701357465</v>
      </c>
      <c r="N17" s="1185" t="s">
        <v>863</v>
      </c>
      <c r="O17" s="1197" t="s">
        <v>1702</v>
      </c>
      <c r="P17" s="1239"/>
      <c r="Q17" s="1239"/>
      <c r="R17" s="1237" t="str">
        <f t="shared" si="1"/>
        <v/>
      </c>
      <c r="S17" s="1185"/>
      <c r="T17" s="1197"/>
      <c r="U17" s="1248" t="e">
        <f>#REF!</f>
        <v>#REF!</v>
      </c>
      <c r="V17" s="1249"/>
      <c r="W17" s="1250" t="s">
        <v>1044</v>
      </c>
      <c r="X17" s="499"/>
      <c r="Y17" s="500"/>
    </row>
    <row r="18" spans="1:25" ht="135" x14ac:dyDescent="0.2">
      <c r="A18" s="1244" t="s">
        <v>1018</v>
      </c>
      <c r="B18" s="1202" t="s">
        <v>1019</v>
      </c>
      <c r="C18" s="1202" t="s">
        <v>1029</v>
      </c>
      <c r="D18" s="1245" t="e">
        <f>SUBSTITUTE(SUBSTITUTE(SUBSTITUTE(CONCATENATE(#REF!,$C18)," ",""),"/",""),"-","")</f>
        <v>#REF!</v>
      </c>
      <c r="E18" s="1202" t="s">
        <v>1027</v>
      </c>
      <c r="F18" s="1246">
        <v>0</v>
      </c>
      <c r="G18" s="1246">
        <v>0</v>
      </c>
      <c r="H18" s="1247">
        <v>0</v>
      </c>
      <c r="I18" s="1202"/>
      <c r="J18" s="1202"/>
      <c r="K18" s="1239">
        <v>3549</v>
      </c>
      <c r="L18" s="1239">
        <v>4021</v>
      </c>
      <c r="M18" s="1237">
        <f t="shared" si="0"/>
        <v>88.261626461079331</v>
      </c>
      <c r="N18" s="1185" t="s">
        <v>863</v>
      </c>
      <c r="O18" s="1197" t="s">
        <v>1702</v>
      </c>
      <c r="P18" s="1239"/>
      <c r="Q18" s="1239"/>
      <c r="R18" s="1237" t="str">
        <f t="shared" si="1"/>
        <v/>
      </c>
      <c r="S18" s="1185"/>
      <c r="T18" s="1197"/>
      <c r="U18" s="1248" t="e">
        <f>#REF!</f>
        <v>#REF!</v>
      </c>
      <c r="V18" s="1249"/>
      <c r="W18" s="1250" t="s">
        <v>1045</v>
      </c>
      <c r="X18" s="499"/>
      <c r="Y18" s="500"/>
    </row>
    <row r="19" spans="1:25" ht="135" x14ac:dyDescent="0.2">
      <c r="A19" s="1244" t="s">
        <v>1018</v>
      </c>
      <c r="B19" s="1202" t="s">
        <v>1019</v>
      </c>
      <c r="C19" s="1202" t="s">
        <v>1046</v>
      </c>
      <c r="D19" s="1245" t="e">
        <f>SUBSTITUTE(SUBSTITUTE(SUBSTITUTE(CONCATENATE(#REF!,$C19)," ",""),"/",""),"-","")</f>
        <v>#REF!</v>
      </c>
      <c r="E19" s="1202" t="s">
        <v>1047</v>
      </c>
      <c r="F19" s="1246">
        <v>0</v>
      </c>
      <c r="G19" s="1246">
        <v>0</v>
      </c>
      <c r="H19" s="1247">
        <v>0</v>
      </c>
      <c r="I19" s="1202"/>
      <c r="J19" s="1202"/>
      <c r="K19" s="1239">
        <v>171</v>
      </c>
      <c r="L19" s="1239">
        <v>270</v>
      </c>
      <c r="M19" s="1237">
        <f t="shared" si="0"/>
        <v>63.333333333333329</v>
      </c>
      <c r="N19" s="1185" t="s">
        <v>863</v>
      </c>
      <c r="O19" s="1197" t="s">
        <v>1702</v>
      </c>
      <c r="P19" s="1239"/>
      <c r="Q19" s="1239"/>
      <c r="R19" s="1237" t="str">
        <f t="shared" si="1"/>
        <v/>
      </c>
      <c r="S19" s="1185"/>
      <c r="T19" s="1197"/>
      <c r="U19" s="1248" t="e">
        <f>#REF!</f>
        <v>#REF!</v>
      </c>
      <c r="V19" s="1249"/>
      <c r="W19" s="1250" t="s">
        <v>1048</v>
      </c>
      <c r="X19" s="499"/>
      <c r="Y19" s="500"/>
    </row>
    <row r="20" spans="1:25" ht="135" x14ac:dyDescent="0.2">
      <c r="A20" s="1244" t="s">
        <v>1018</v>
      </c>
      <c r="B20" s="1202" t="s">
        <v>1019</v>
      </c>
      <c r="C20" s="1202" t="s">
        <v>1034</v>
      </c>
      <c r="D20" s="1245" t="e">
        <f>SUBSTITUTE(SUBSTITUTE(SUBSTITUTE(CONCATENATE(#REF!,$C20)," ",""),"/",""),"-","")</f>
        <v>#REF!</v>
      </c>
      <c r="E20" s="1202" t="s">
        <v>1032</v>
      </c>
      <c r="F20" s="1246">
        <v>0</v>
      </c>
      <c r="G20" s="1246">
        <v>0</v>
      </c>
      <c r="H20" s="1247">
        <v>0</v>
      </c>
      <c r="I20" s="1202"/>
      <c r="J20" s="1202"/>
      <c r="K20" s="1239">
        <v>10161</v>
      </c>
      <c r="L20" s="1239">
        <v>12178</v>
      </c>
      <c r="M20" s="1237">
        <f t="shared" si="0"/>
        <v>83.437346033831489</v>
      </c>
      <c r="N20" s="1185" t="s">
        <v>863</v>
      </c>
      <c r="O20" s="1197" t="s">
        <v>1702</v>
      </c>
      <c r="P20" s="1239"/>
      <c r="Q20" s="1239"/>
      <c r="R20" s="1237" t="str">
        <f t="shared" si="1"/>
        <v/>
      </c>
      <c r="S20" s="1185"/>
      <c r="T20" s="1197"/>
      <c r="U20" s="1248" t="e">
        <f>#REF!</f>
        <v>#REF!</v>
      </c>
      <c r="V20" s="1249"/>
      <c r="W20" s="1250" t="s">
        <v>1049</v>
      </c>
      <c r="X20" s="499"/>
      <c r="Y20" s="500"/>
    </row>
    <row r="21" spans="1:25" ht="135" x14ac:dyDescent="0.2">
      <c r="A21" s="1244" t="s">
        <v>1018</v>
      </c>
      <c r="B21" s="1202" t="s">
        <v>1019</v>
      </c>
      <c r="C21" s="1202" t="s">
        <v>1031</v>
      </c>
      <c r="D21" s="1245" t="e">
        <f>SUBSTITUTE(SUBSTITUTE(SUBSTITUTE(CONCATENATE(#REF!,$C21)," ",""),"/",""),"-","")</f>
        <v>#REF!</v>
      </c>
      <c r="E21" s="1202" t="s">
        <v>1032</v>
      </c>
      <c r="F21" s="1246">
        <v>0</v>
      </c>
      <c r="G21" s="1246">
        <v>0</v>
      </c>
      <c r="H21" s="1247">
        <v>0</v>
      </c>
      <c r="I21" s="1202"/>
      <c r="J21" s="1202"/>
      <c r="K21" s="1239">
        <v>578</v>
      </c>
      <c r="L21" s="1239">
        <v>596</v>
      </c>
      <c r="M21" s="1237">
        <f t="shared" si="0"/>
        <v>96.979865771812086</v>
      </c>
      <c r="N21" s="1185" t="s">
        <v>863</v>
      </c>
      <c r="O21" s="1197" t="s">
        <v>1702</v>
      </c>
      <c r="P21" s="1239"/>
      <c r="Q21" s="1239"/>
      <c r="R21" s="1237" t="str">
        <f t="shared" si="1"/>
        <v/>
      </c>
      <c r="S21" s="1185"/>
      <c r="T21" s="1197"/>
      <c r="U21" s="1248" t="e">
        <f>#REF!</f>
        <v>#REF!</v>
      </c>
      <c r="V21" s="1249"/>
      <c r="W21" s="1250" t="s">
        <v>1050</v>
      </c>
      <c r="X21" s="499"/>
      <c r="Y21" s="500"/>
    </row>
    <row r="22" spans="1:25" ht="135" x14ac:dyDescent="0.2">
      <c r="A22" s="1244" t="s">
        <v>1018</v>
      </c>
      <c r="B22" s="1202" t="s">
        <v>1019</v>
      </c>
      <c r="C22" s="1202" t="s">
        <v>1051</v>
      </c>
      <c r="D22" s="1245" t="e">
        <f>SUBSTITUTE(SUBSTITUTE(SUBSTITUTE(CONCATENATE(#REF!,$C22)," ",""),"/",""),"-","")</f>
        <v>#REF!</v>
      </c>
      <c r="E22" s="1202" t="s">
        <v>1047</v>
      </c>
      <c r="F22" s="1246">
        <v>0</v>
      </c>
      <c r="G22" s="1246">
        <v>0</v>
      </c>
      <c r="H22" s="1247">
        <v>0</v>
      </c>
      <c r="I22" s="1202"/>
      <c r="J22" s="1202"/>
      <c r="K22" s="1239">
        <v>2054</v>
      </c>
      <c r="L22" s="1239">
        <v>2616</v>
      </c>
      <c r="M22" s="1237">
        <f t="shared" si="0"/>
        <v>78.516819571865454</v>
      </c>
      <c r="N22" s="1185" t="s">
        <v>863</v>
      </c>
      <c r="O22" s="1197" t="s">
        <v>1702</v>
      </c>
      <c r="P22" s="1239"/>
      <c r="Q22" s="1239"/>
      <c r="R22" s="1237" t="str">
        <f t="shared" si="1"/>
        <v/>
      </c>
      <c r="S22" s="1185"/>
      <c r="T22" s="1197"/>
      <c r="U22" s="1248" t="e">
        <f>#REF!</f>
        <v>#REF!</v>
      </c>
      <c r="V22" s="1249"/>
      <c r="W22" s="1250" t="s">
        <v>1052</v>
      </c>
      <c r="X22" s="499"/>
      <c r="Y22" s="500"/>
    </row>
    <row r="23" spans="1:25" ht="135" x14ac:dyDescent="0.2">
      <c r="A23" s="1244" t="s">
        <v>1018</v>
      </c>
      <c r="B23" s="1202" t="s">
        <v>1019</v>
      </c>
      <c r="C23" s="1202" t="s">
        <v>1026</v>
      </c>
      <c r="D23" s="1245" t="e">
        <f>SUBSTITUTE(SUBSTITUTE(SUBSTITUTE(CONCATENATE(#REF!,$C23)," ",""),"/",""),"-","")</f>
        <v>#REF!</v>
      </c>
      <c r="E23" s="1202" t="s">
        <v>1027</v>
      </c>
      <c r="F23" s="1246">
        <v>0</v>
      </c>
      <c r="G23" s="1246">
        <v>0</v>
      </c>
      <c r="H23" s="1247">
        <v>0</v>
      </c>
      <c r="I23" s="1202"/>
      <c r="J23" s="1202"/>
      <c r="K23" s="1239">
        <v>7190</v>
      </c>
      <c r="L23" s="1239">
        <v>8753</v>
      </c>
      <c r="M23" s="1237">
        <f t="shared" si="0"/>
        <v>82.143265166228716</v>
      </c>
      <c r="N23" s="1185" t="s">
        <v>863</v>
      </c>
      <c r="O23" s="1197" t="s">
        <v>1702</v>
      </c>
      <c r="P23" s="1239"/>
      <c r="Q23" s="1239"/>
      <c r="R23" s="1237" t="str">
        <f t="shared" si="1"/>
        <v/>
      </c>
      <c r="S23" s="1185"/>
      <c r="T23" s="1197"/>
      <c r="U23" s="1248" t="e">
        <f>#REF!</f>
        <v>#REF!</v>
      </c>
      <c r="V23" s="1249"/>
      <c r="W23" s="1250" t="s">
        <v>1053</v>
      </c>
      <c r="X23" s="499"/>
      <c r="Y23" s="500"/>
    </row>
    <row r="24" spans="1:25" ht="135" x14ac:dyDescent="0.2">
      <c r="A24" s="1244" t="s">
        <v>1018</v>
      </c>
      <c r="B24" s="1202" t="s">
        <v>1019</v>
      </c>
      <c r="C24" s="1202" t="s">
        <v>1054</v>
      </c>
      <c r="D24" s="1245" t="e">
        <f>SUBSTITUTE(SUBSTITUTE(SUBSTITUTE(CONCATENATE(#REF!,$C24)," ",""),"/",""),"-","")</f>
        <v>#REF!</v>
      </c>
      <c r="E24" s="1202" t="s">
        <v>1047</v>
      </c>
      <c r="F24" s="1246">
        <v>0</v>
      </c>
      <c r="G24" s="1246">
        <v>0</v>
      </c>
      <c r="H24" s="1247">
        <v>0</v>
      </c>
      <c r="I24" s="1202"/>
      <c r="J24" s="1202"/>
      <c r="K24" s="1239">
        <v>8514</v>
      </c>
      <c r="L24" s="1239">
        <v>9888</v>
      </c>
      <c r="M24" s="1237">
        <f t="shared" si="0"/>
        <v>86.104368932038838</v>
      </c>
      <c r="N24" s="1185" t="s">
        <v>863</v>
      </c>
      <c r="O24" s="1197" t="s">
        <v>1702</v>
      </c>
      <c r="P24" s="1239"/>
      <c r="Q24" s="1239"/>
      <c r="R24" s="1237" t="str">
        <f t="shared" si="1"/>
        <v/>
      </c>
      <c r="S24" s="1185"/>
      <c r="T24" s="1197"/>
      <c r="U24" s="1248" t="e">
        <f>#REF!</f>
        <v>#REF!</v>
      </c>
      <c r="V24" s="1249"/>
      <c r="W24" s="1250" t="s">
        <v>1055</v>
      </c>
      <c r="X24" s="499"/>
      <c r="Y24" s="500"/>
    </row>
    <row r="25" spans="1:25" ht="2.1" customHeight="1" thickBot="1" x14ac:dyDescent="0.25">
      <c r="A25" s="445"/>
      <c r="B25" s="446"/>
      <c r="C25" s="446"/>
      <c r="D25" s="446"/>
      <c r="E25" s="447"/>
      <c r="F25" s="448"/>
      <c r="G25" s="448"/>
      <c r="H25" s="448"/>
      <c r="I25" s="448"/>
      <c r="J25" s="448"/>
      <c r="K25" s="448"/>
      <c r="L25" s="448"/>
      <c r="M25" s="448"/>
      <c r="N25" s="448"/>
      <c r="O25" s="446"/>
      <c r="P25" s="448"/>
      <c r="Q25" s="448"/>
      <c r="R25" s="448"/>
      <c r="S25" s="448"/>
      <c r="T25" s="446"/>
      <c r="U25" s="446"/>
      <c r="V25" s="446"/>
      <c r="W25" s="449"/>
      <c r="X25" s="524"/>
      <c r="Y25" s="525"/>
    </row>
    <row r="29" spans="1:25" x14ac:dyDescent="0.2">
      <c r="P29" s="96"/>
      <c r="Q29" s="96"/>
      <c r="R29" s="96"/>
      <c r="S29" s="96"/>
      <c r="T29" s="98"/>
      <c r="U29" s="98"/>
      <c r="V29" s="98"/>
      <c r="W29" s="443"/>
      <c r="X29" s="443"/>
      <c r="Y29" s="98"/>
    </row>
    <row r="30" spans="1:25" x14ac:dyDescent="0.2">
      <c r="P30" s="96"/>
      <c r="Q30" s="96"/>
      <c r="R30" s="96"/>
      <c r="S30" s="96"/>
      <c r="T30" s="1415"/>
      <c r="U30" s="98"/>
      <c r="V30" s="98"/>
      <c r="W30" s="443"/>
      <c r="X30" s="443"/>
      <c r="Y30" s="98"/>
    </row>
    <row r="31" spans="1:25" x14ac:dyDescent="0.2">
      <c r="P31" s="96"/>
      <c r="Q31" s="96"/>
      <c r="R31" s="96"/>
      <c r="S31" s="96"/>
      <c r="T31" s="1452"/>
      <c r="U31" s="98"/>
      <c r="V31" s="98"/>
      <c r="W31" s="443"/>
      <c r="X31" s="443"/>
      <c r="Y31" s="98"/>
    </row>
    <row r="32" spans="1:25" ht="15" x14ac:dyDescent="0.2">
      <c r="P32" s="979"/>
      <c r="Q32" s="979"/>
      <c r="R32" s="979"/>
      <c r="S32" s="979"/>
      <c r="T32" s="978"/>
      <c r="U32" s="98"/>
      <c r="V32" s="98"/>
      <c r="W32" s="443"/>
      <c r="X32" s="443"/>
      <c r="Y32" s="98"/>
    </row>
    <row r="33" spans="16:25" ht="15" x14ac:dyDescent="0.2">
      <c r="P33" s="973"/>
      <c r="Q33" s="973"/>
      <c r="R33" s="974"/>
      <c r="S33" s="661"/>
      <c r="T33" s="98"/>
      <c r="U33" s="98"/>
      <c r="V33" s="98"/>
      <c r="W33" s="443"/>
      <c r="X33" s="443"/>
      <c r="Y33" s="98"/>
    </row>
    <row r="34" spans="16:25" x14ac:dyDescent="0.2">
      <c r="P34" s="96"/>
      <c r="Q34" s="96"/>
      <c r="R34" s="96"/>
      <c r="S34" s="96"/>
      <c r="T34" s="98"/>
      <c r="U34" s="98"/>
      <c r="V34" s="98"/>
      <c r="W34" s="443"/>
      <c r="X34" s="443"/>
      <c r="Y34" s="98"/>
    </row>
    <row r="35" spans="16:25" x14ac:dyDescent="0.2">
      <c r="P35" s="96"/>
      <c r="Q35" s="96"/>
      <c r="R35" s="96"/>
      <c r="S35" s="96"/>
      <c r="T35" s="98"/>
      <c r="U35" s="98"/>
      <c r="V35" s="98"/>
      <c r="W35" s="443"/>
      <c r="X35" s="443"/>
      <c r="Y35" s="98"/>
    </row>
    <row r="36" spans="16:25" x14ac:dyDescent="0.2">
      <c r="P36" s="96"/>
      <c r="Q36" s="96"/>
      <c r="R36" s="96"/>
      <c r="S36" s="96"/>
      <c r="T36" s="98"/>
      <c r="U36" s="98"/>
      <c r="V36" s="98"/>
      <c r="W36" s="443"/>
      <c r="X36" s="443"/>
      <c r="Y36" s="98"/>
    </row>
  </sheetData>
  <sheetProtection algorithmName="SHA-512" hashValue="fGFstfe3RHgcrynh7/fpAc3nCcAlvRGn5ffh0ou/PrNeVzjzetTPLeqHYFjVcpkVluaZqknh3PvgOLmxwu7Iag==" saltValue="/zjVMTvUHgCLQ90+OUXdrw==" spinCount="100000" sheet="1" objects="1" scenarios="1" formatColumns="0" formatRows="0" sort="0" autoFilter="0"/>
  <autoFilter ref="A5:W24">
    <filterColumn colId="5" showButton="0"/>
    <filterColumn colId="6" showButton="0"/>
    <filterColumn colId="7" showButton="0"/>
    <filterColumn colId="8" showButton="0"/>
    <filterColumn colId="10" showButton="0"/>
    <filterColumn colId="11" showButton="0"/>
    <filterColumn colId="12" showButton="0"/>
    <filterColumn colId="15" showButton="0"/>
    <filterColumn colId="16" showButton="0"/>
    <filterColumn colId="17" showButton="0"/>
  </autoFilter>
  <dataConsolidate/>
  <mergeCells count="17">
    <mergeCell ref="U4:V4"/>
    <mergeCell ref="P4:T4"/>
    <mergeCell ref="A4:O4"/>
    <mergeCell ref="U5:U6"/>
    <mergeCell ref="V5:V6"/>
    <mergeCell ref="P5:S5"/>
    <mergeCell ref="T5:T6"/>
    <mergeCell ref="A5:A6"/>
    <mergeCell ref="B5:B6"/>
    <mergeCell ref="F5:J5"/>
    <mergeCell ref="O5:O6"/>
    <mergeCell ref="C5:C6"/>
    <mergeCell ref="D5:D6"/>
    <mergeCell ref="K5:N5"/>
    <mergeCell ref="E5:E6"/>
    <mergeCell ref="T30:T31"/>
    <mergeCell ref="A1:H1"/>
  </mergeCells>
  <dataValidations count="13">
    <dataValidation type="decimal" allowBlank="1" showInputMessage="1" showErrorMessage="1" errorTitle="X-Author for Excel" error="Please enter a valid numeric value. Valid range for Baseline N# is -9999999999 to 9999999999." promptTitle="X-Author for Excel" sqref="F7:F24">
      <formula1>-9999999999</formula1>
      <formula2>9999999999</formula2>
    </dataValidation>
    <dataValidation type="decimal" allowBlank="1" showInputMessage="1" showErrorMessage="1" errorTitle="X-Author for Excel" error="Please enter a valid numeric value. Valid range for Baseline D# is -9999999999 to 9999999999." promptTitle="X-Author for Excel" sqref="G7:G24">
      <formula1>-9999999999</formula1>
      <formula2>9999999999</formula2>
    </dataValidation>
    <dataValidation type="decimal" allowBlank="1" showInputMessage="1" showErrorMessage="1" errorTitle="X-Author for Excel" error="Please enter a valid numeric value. Valid range for Baseline % is -999 to 999." promptTitle="X-Author for Excel" sqref="H7:H24">
      <formula1>-999</formula1>
      <formula2>999</formula2>
    </dataValidation>
    <dataValidation type="list" allowBlank="1" showInputMessage="1" showErrorMessage="1" errorTitle="X-Author for Excel" error="Please select a value from the drop-down." promptTitle="X-Author for Excel" sqref="I7:I24">
      <formula1>IF(IFERROR(ROWS(INDIRECT(SUBSTITUTE("AIM_Coverage_Disaggregation__c.AIM_Year__c"," ","_"))),-1) &lt; 0, XAuthorInvalidPicklistData,INDIRECT(SUBSTITUTE("AIM_Coverage_Disaggregation__c.AIM_Year__c"," ","_")))</formula1>
    </dataValidation>
    <dataValidation type="decimal" allowBlank="1" showInputMessage="1" showErrorMessage="1" errorTitle="X-Author for Excel" error="Please enter a valid numeric value. Valid range for Result N# (PR) is -9999999999 to 9999999999." promptTitle="X-Author for Excel" sqref="K7:K24">
      <formula1>-9999999999</formula1>
      <formula2>9999999999</formula2>
    </dataValidation>
    <dataValidation type="decimal" allowBlank="1" showInputMessage="1" showErrorMessage="1" errorTitle="X-Author for Excel" error="Please enter a valid numeric value. Valid range for Result D# (PR) is -9999999999 to 9999999999." promptTitle="X-Author for Excel" sqref="L7:L24">
      <formula1>-9999999999</formula1>
      <formula2>9999999999</formula2>
    </dataValidation>
    <dataValidation type="decimal" allowBlank="1" showInputMessage="1" showErrorMessage="1" errorTitle="X-Author for Excel" error="Please enter a valid numeric value. Valid range for Result % (PR) is -9999999999 to 9999999999." promptTitle="X-Author for Excel" sqref="M7:M24">
      <formula1>-9999999999</formula1>
      <formula2>9999999999</formula2>
    </dataValidation>
    <dataValidation type="list" allowBlank="1" showInputMessage="1" showErrorMessage="1" errorTitle="X-Author for Excel" error="Please select a value from the drop-down." promptTitle="X-Author for Excel" sqref="N7:N24">
      <formula1>IF(IFERROR(ROWS(INDIRECT(SUBSTITUTE("AIM_Coverage_Disaggregation_Result__c.AIM_Source_PR__c"," ","_"))),-1) &lt; 0, XAuthorInvalidPicklistData,INDIRECT(SUBSTITUTE("AIM_Coverage_Disaggregation_Result__c.AIM_Source_PR__c"," ","_")))</formula1>
    </dataValidation>
    <dataValidation type="decimal" allowBlank="1" showInputMessage="1" showErrorMessage="1" errorTitle="X-Author for Excel" error="Please enter a valid numeric value. Valid range for Result N# (LFA) is -9999999999 to 9999999999." promptTitle="X-Author for Excel" sqref="P7:P24">
      <formula1>-9999999999</formula1>
      <formula2>9999999999</formula2>
    </dataValidation>
    <dataValidation type="decimal" allowBlank="1" showInputMessage="1" showErrorMessage="1" errorTitle="X-Author for Excel" error="Please enter a valid numeric value. Valid range for Result D# (LFA) is -9999999999 to 9999999999." promptTitle="X-Author for Excel" sqref="Q7:Q24">
      <formula1>-9999999999</formula1>
      <formula2>9999999999</formula2>
    </dataValidation>
    <dataValidation type="decimal" allowBlank="1" showInputMessage="1" showErrorMessage="1" errorTitle="X-Author for Excel" error="Please enter a valid numeric value. Valid range for Result % (LFA) is -9999999999 to 9999999999." promptTitle="X-Author for Excel" sqref="R7:R24">
      <formula1>-9999999999</formula1>
      <formula2>9999999999</formula2>
    </dataValidation>
    <dataValidation type="list" allowBlank="1" showInputMessage="1" showErrorMessage="1" errorTitle="X-Author for Excel" error="Please select a value from the drop-down." promptTitle="X-Author for Excel" sqref="S7:S24">
      <formula1>IF(IFERROR(ROWS(INDIRECT(SUBSTITUTE("AIM_Coverage_Disaggregation_Result__c.AIM_LFA_Source__c"," ","_"))),-1) &lt; 0, XAuthorInvalidPicklistData,INDIRECT(SUBSTITUTE("AIM_Coverage_Disaggregation_Result__c.AIM_LFA_Source__c"," ","_")))</formula1>
    </dataValidation>
    <dataValidation type="custom" allowBlank="1" showInputMessage="1" showErrorMessage="1" errorTitle="X-Author for Excel" error="Id and Lookup fields are not editable." promptTitle="X-Author for Excel" sqref="W7:W24">
      <formula1>""</formula1>
    </dataValidation>
  </dataValidations>
  <printOptions horizontalCentered="1" verticalCentered="1"/>
  <pageMargins left="0.23622047244094491" right="0.23622047244094491" top="0.74803149606299213" bottom="0.74803149606299213" header="0.31496062992125984" footer="0.31496062992125984"/>
  <pageSetup paperSize="9" scale="26" orientation="landscape" r:id="rId1"/>
  <headerFooter>
    <oddFooter>&amp;L&amp;A&amp;R&amp;P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rgb="FF00FF00"/>
  </sheetPr>
  <dimension ref="A1:AE49"/>
  <sheetViews>
    <sheetView showGridLines="0" view="pageBreakPreview" zoomScale="70" zoomScaleNormal="70" zoomScaleSheetLayoutView="70" workbookViewId="0">
      <selection activeCell="F19" sqref="F19"/>
    </sheetView>
  </sheetViews>
  <sheetFormatPr defaultColWidth="9.140625" defaultRowHeight="12.75" x14ac:dyDescent="0.2"/>
  <cols>
    <col min="1" max="1" width="41.42578125" style="8" customWidth="1"/>
    <col min="2" max="2" width="26.42578125" style="8" customWidth="1"/>
    <col min="3" max="3" width="20.5703125" style="8" customWidth="1"/>
    <col min="4" max="4" width="24" style="8" customWidth="1"/>
    <col min="5" max="5" width="29" style="8" bestFit="1" customWidth="1"/>
    <col min="6" max="6" width="25.85546875" style="8" bestFit="1" customWidth="1"/>
    <col min="7" max="7" width="25.85546875" style="8" hidden="1" customWidth="1"/>
    <col min="8" max="8" width="18.85546875" style="8" customWidth="1"/>
    <col min="9" max="9" width="8.42578125" style="8" hidden="1" customWidth="1"/>
    <col min="10" max="10" width="21.42578125" style="8" customWidth="1"/>
    <col min="11" max="11" width="35.140625" style="8" bestFit="1" customWidth="1"/>
    <col min="12" max="12" width="64.5703125" style="8" customWidth="1"/>
    <col min="13" max="13" width="21.42578125" style="8" customWidth="1"/>
    <col min="14" max="14" width="35.42578125" style="8" bestFit="1" customWidth="1"/>
    <col min="15" max="15" width="69.85546875" style="8" customWidth="1"/>
    <col min="16" max="17" width="21.42578125" style="8" hidden="1" customWidth="1"/>
    <col min="18" max="18" width="35.42578125" style="8" hidden="1" customWidth="1"/>
    <col min="19" max="19" width="49.5703125" style="8" hidden="1" customWidth="1"/>
    <col min="20" max="20" width="9.140625" style="368" hidden="1" customWidth="1"/>
    <col min="21" max="21" width="0.140625" style="368" customWidth="1"/>
    <col min="22" max="22" width="0.140625" style="8" customWidth="1"/>
    <col min="23" max="23" width="6.85546875" style="387" hidden="1" customWidth="1"/>
    <col min="24" max="24" width="28.5703125" style="14" hidden="1" customWidth="1"/>
    <col min="25" max="27" width="9.140625" style="14" hidden="1" customWidth="1"/>
    <col min="28" max="31" width="9.140625" style="14"/>
    <col min="32" max="16384" width="9.140625" style="8"/>
  </cols>
  <sheetData>
    <row r="1" spans="1:31" ht="57" customHeight="1" x14ac:dyDescent="0.2">
      <c r="A1" s="1446" t="str">
        <f>IF(CoverSheet!J12="N/A","Progress Report","Progress Report with Disbursement Request")</f>
        <v>Progress Report with Disbursement Request</v>
      </c>
      <c r="B1" s="1446"/>
      <c r="C1" s="1446"/>
      <c r="D1" s="1446"/>
      <c r="E1" s="1446"/>
      <c r="F1" s="1446"/>
      <c r="G1" s="1446"/>
      <c r="H1" s="1446"/>
      <c r="I1" s="1446"/>
      <c r="J1" s="1446"/>
      <c r="K1" s="1446"/>
      <c r="L1" s="1446"/>
      <c r="M1" s="371"/>
      <c r="N1" s="7"/>
      <c r="P1" s="371"/>
      <c r="Q1" s="371"/>
    </row>
    <row r="2" spans="1:31" s="15" customFormat="1" ht="41.25" hidden="1" customHeight="1" x14ac:dyDescent="0.2">
      <c r="A2" s="14" t="e">
        <f>'Coverage Indicators_1B'!#REF!</f>
        <v>#REF!</v>
      </c>
      <c r="B2" s="14"/>
      <c r="C2" s="14"/>
      <c r="D2" s="14"/>
      <c r="E2" s="14"/>
      <c r="F2" s="14"/>
      <c r="G2" s="14"/>
      <c r="H2" s="14"/>
      <c r="I2" s="14"/>
      <c r="J2" s="14"/>
      <c r="K2" s="14"/>
      <c r="L2" s="14"/>
      <c r="M2" s="14"/>
      <c r="N2" s="10"/>
      <c r="O2" s="10"/>
      <c r="P2" s="14"/>
      <c r="Q2" s="14"/>
      <c r="R2" s="10"/>
      <c r="S2" s="10"/>
      <c r="T2" s="369"/>
      <c r="U2" s="369"/>
      <c r="W2" s="511"/>
      <c r="X2" s="21"/>
      <c r="Y2" s="21"/>
      <c r="Z2" s="21"/>
      <c r="AA2" s="21"/>
      <c r="AB2" s="21"/>
      <c r="AC2" s="21"/>
      <c r="AD2" s="21"/>
      <c r="AE2" s="21"/>
    </row>
    <row r="3" spans="1:31" ht="30" customHeight="1" x14ac:dyDescent="0.2">
      <c r="A3" s="12" t="s">
        <v>168</v>
      </c>
      <c r="B3" s="386"/>
      <c r="C3" s="386"/>
      <c r="D3" s="386"/>
      <c r="E3" s="386"/>
      <c r="F3" s="386"/>
      <c r="G3" s="386"/>
      <c r="H3" s="386"/>
      <c r="I3" s="386"/>
      <c r="J3" s="386"/>
      <c r="K3" s="386"/>
      <c r="L3" s="386"/>
      <c r="M3" s="386"/>
      <c r="N3" s="386"/>
      <c r="O3" s="386"/>
      <c r="P3" s="386"/>
      <c r="Q3" s="386"/>
      <c r="R3" s="386"/>
      <c r="S3" s="386"/>
      <c r="T3" s="408"/>
      <c r="U3" s="408"/>
      <c r="V3" s="386"/>
      <c r="W3" s="408"/>
      <c r="X3" s="386"/>
      <c r="Y3" s="386"/>
      <c r="Z3" s="386"/>
      <c r="AA3" s="386"/>
      <c r="AB3" s="386"/>
      <c r="AC3" s="386"/>
    </row>
    <row r="4" spans="1:31" s="14" customFormat="1" ht="37.5" customHeight="1" thickBot="1" x14ac:dyDescent="0.25">
      <c r="A4" s="16" t="s">
        <v>537</v>
      </c>
      <c r="B4" s="18"/>
      <c r="C4" s="18"/>
      <c r="D4" s="17"/>
      <c r="E4" s="13"/>
      <c r="F4" s="13"/>
      <c r="G4" s="13"/>
      <c r="H4" s="13"/>
      <c r="N4" s="10"/>
      <c r="O4" s="10"/>
      <c r="R4" s="10"/>
      <c r="S4" s="15"/>
      <c r="T4" s="369"/>
      <c r="U4" s="370"/>
      <c r="V4" s="10"/>
      <c r="W4" s="454"/>
    </row>
    <row r="5" spans="1:31" ht="27" customHeight="1" thickBot="1" x14ac:dyDescent="0.25">
      <c r="A5" s="1406" t="s">
        <v>174</v>
      </c>
      <c r="B5" s="1407"/>
      <c r="C5" s="1407"/>
      <c r="D5" s="1407"/>
      <c r="E5" s="1407"/>
      <c r="F5" s="1407"/>
      <c r="G5" s="1407"/>
      <c r="H5" s="1407"/>
      <c r="I5" s="1407"/>
      <c r="J5" s="1407"/>
      <c r="K5" s="1407"/>
      <c r="L5" s="1464"/>
      <c r="M5" s="1397"/>
      <c r="N5" s="1397"/>
      <c r="O5" s="1463"/>
      <c r="P5" s="432"/>
      <c r="Q5" s="432"/>
      <c r="R5" s="1397" t="s">
        <v>101</v>
      </c>
      <c r="S5" s="1397"/>
      <c r="T5" s="522"/>
      <c r="U5" s="455"/>
      <c r="V5" s="456"/>
      <c r="W5" s="454"/>
    </row>
    <row r="6" spans="1:31" ht="78.75" customHeight="1" x14ac:dyDescent="0.2">
      <c r="A6" s="436" t="s">
        <v>336</v>
      </c>
      <c r="B6" s="435" t="s">
        <v>338</v>
      </c>
      <c r="C6" s="528" t="s">
        <v>368</v>
      </c>
      <c r="D6" s="435" t="s">
        <v>360</v>
      </c>
      <c r="E6" s="916" t="s">
        <v>361</v>
      </c>
      <c r="F6" s="916" t="s">
        <v>342</v>
      </c>
      <c r="G6" s="435" t="s">
        <v>362</v>
      </c>
      <c r="H6" s="435" t="s">
        <v>363</v>
      </c>
      <c r="I6" s="435" t="s">
        <v>91</v>
      </c>
      <c r="J6" s="435" t="s">
        <v>197</v>
      </c>
      <c r="K6" s="435" t="s">
        <v>367</v>
      </c>
      <c r="L6" s="435" t="s">
        <v>364</v>
      </c>
      <c r="M6" s="434" t="s">
        <v>197</v>
      </c>
      <c r="N6" s="434" t="s">
        <v>365</v>
      </c>
      <c r="O6" s="502" t="s">
        <v>552</v>
      </c>
      <c r="P6" s="433" t="s">
        <v>197</v>
      </c>
      <c r="Q6" s="433" t="s">
        <v>197</v>
      </c>
      <c r="R6" s="433" t="s">
        <v>217</v>
      </c>
      <c r="S6" s="433" t="s">
        <v>210</v>
      </c>
      <c r="T6" s="511" t="s">
        <v>356</v>
      </c>
      <c r="U6" s="454"/>
      <c r="V6" s="457"/>
      <c r="W6" s="454"/>
    </row>
    <row r="7" spans="1:31" ht="30" hidden="1" x14ac:dyDescent="0.2">
      <c r="A7" s="498" t="s">
        <v>314</v>
      </c>
      <c r="B7" s="439" t="s">
        <v>337</v>
      </c>
      <c r="C7" s="439" t="s">
        <v>369</v>
      </c>
      <c r="D7" s="439" t="s">
        <v>339</v>
      </c>
      <c r="E7" s="438" t="s">
        <v>340</v>
      </c>
      <c r="F7" s="438" t="s">
        <v>341</v>
      </c>
      <c r="G7" s="438" t="s">
        <v>343</v>
      </c>
      <c r="H7" s="458" t="s">
        <v>344</v>
      </c>
      <c r="I7" s="450"/>
      <c r="J7" s="451" t="s">
        <v>345</v>
      </c>
      <c r="K7" s="531" t="str">
        <f>IFERROR(IF(J7="Not Started",0,IF(J7="Started",1,IF(J7="Advancing",2,IF(J7="Completed",3," "))))," ")</f>
        <v xml:space="preserve"> </v>
      </c>
      <c r="L7" s="409" t="s">
        <v>346</v>
      </c>
      <c r="M7" s="451" t="s">
        <v>347</v>
      </c>
      <c r="N7" s="531" t="str">
        <f>IFERROR(IF(M7="Not Started",0,IF(M7="Started",1,IF(M7="Advancing",2,IF(M7="Completed",3," "))))," ")</f>
        <v xml:space="preserve"> </v>
      </c>
      <c r="O7" s="409" t="s">
        <v>348</v>
      </c>
      <c r="P7" s="451"/>
      <c r="Q7" s="451"/>
      <c r="R7" s="452" t="str">
        <f>IFERROR(VLOOKUP(Q7,$X$9:$Y$12,2,FALSE),"")</f>
        <v/>
      </c>
      <c r="S7" s="453"/>
      <c r="T7" s="387" t="s">
        <v>355</v>
      </c>
      <c r="U7" s="387"/>
      <c r="V7" s="389"/>
    </row>
    <row r="8" spans="1:31" ht="2.1" customHeight="1" thickBot="1" x14ac:dyDescent="0.25">
      <c r="A8" s="414"/>
      <c r="B8" s="415"/>
      <c r="C8" s="415"/>
      <c r="D8" s="415"/>
      <c r="E8" s="415"/>
      <c r="F8" s="415"/>
      <c r="G8" s="415"/>
      <c r="H8" s="415"/>
      <c r="I8" s="415" t="s">
        <v>23</v>
      </c>
      <c r="J8" s="415"/>
      <c r="K8" s="415" t="str">
        <f t="shared" ref="K8:K44" si="0">IFERROR(VLOOKUP(J8,$X$9:$Y$12,2,FALSE),"")</f>
        <v/>
      </c>
      <c r="L8" s="415"/>
      <c r="M8" s="415"/>
      <c r="N8" s="415" t="str">
        <f t="shared" ref="N8:N29" si="1">IFERROR(VLOOKUP(M8,$X$9:$Y$12,2,FALSE),"")</f>
        <v/>
      </c>
      <c r="O8" s="415"/>
      <c r="P8" s="415"/>
      <c r="Q8" s="415"/>
      <c r="R8" s="415" t="str">
        <f t="shared" ref="R8:R29" si="2">IFERROR(VLOOKUP(Q8,$X$9:$Y$12,2,FALSE),"")</f>
        <v/>
      </c>
      <c r="S8" s="415"/>
      <c r="T8" s="416"/>
      <c r="U8" s="416"/>
      <c r="V8" s="417"/>
    </row>
    <row r="9" spans="1:31" x14ac:dyDescent="0.2">
      <c r="I9" s="8" t="s">
        <v>23</v>
      </c>
      <c r="K9" s="8" t="str">
        <f t="shared" si="0"/>
        <v/>
      </c>
      <c r="N9" s="8" t="str">
        <f t="shared" si="1"/>
        <v/>
      </c>
      <c r="R9" s="8" t="str">
        <f t="shared" si="2"/>
        <v/>
      </c>
      <c r="X9" s="14" t="s">
        <v>198</v>
      </c>
      <c r="Y9" s="14">
        <v>0</v>
      </c>
    </row>
    <row r="10" spans="1:31" x14ac:dyDescent="0.2">
      <c r="I10" s="8" t="s">
        <v>23</v>
      </c>
      <c r="K10" s="8" t="str">
        <f t="shared" si="0"/>
        <v/>
      </c>
      <c r="N10" s="8" t="str">
        <f t="shared" si="1"/>
        <v/>
      </c>
      <c r="R10" s="8" t="str">
        <f t="shared" si="2"/>
        <v/>
      </c>
      <c r="X10" s="14" t="s">
        <v>199</v>
      </c>
      <c r="Y10" s="14">
        <v>1</v>
      </c>
    </row>
    <row r="11" spans="1:31" x14ac:dyDescent="0.2">
      <c r="I11" s="8" t="s">
        <v>23</v>
      </c>
      <c r="K11" s="8" t="str">
        <f t="shared" si="0"/>
        <v/>
      </c>
      <c r="N11" s="8" t="str">
        <f t="shared" si="1"/>
        <v/>
      </c>
      <c r="R11" s="8" t="str">
        <f t="shared" si="2"/>
        <v/>
      </c>
      <c r="X11" s="14" t="s">
        <v>200</v>
      </c>
      <c r="Y11" s="14">
        <v>2</v>
      </c>
    </row>
    <row r="12" spans="1:31" x14ac:dyDescent="0.2">
      <c r="I12" s="8" t="s">
        <v>23</v>
      </c>
      <c r="K12" s="8" t="str">
        <f t="shared" si="0"/>
        <v/>
      </c>
      <c r="N12" s="8" t="str">
        <f t="shared" si="1"/>
        <v/>
      </c>
      <c r="R12" s="8" t="str">
        <f t="shared" si="2"/>
        <v/>
      </c>
      <c r="X12" s="14" t="s">
        <v>201</v>
      </c>
      <c r="Y12" s="14">
        <v>3</v>
      </c>
    </row>
    <row r="13" spans="1:31" x14ac:dyDescent="0.2">
      <c r="I13" s="8" t="s">
        <v>23</v>
      </c>
      <c r="K13" s="8" t="str">
        <f t="shared" si="0"/>
        <v/>
      </c>
      <c r="N13" s="8" t="str">
        <f t="shared" si="1"/>
        <v/>
      </c>
      <c r="R13" s="8" t="str">
        <f t="shared" si="2"/>
        <v/>
      </c>
    </row>
    <row r="14" spans="1:31" x14ac:dyDescent="0.2">
      <c r="I14" s="8" t="s">
        <v>23</v>
      </c>
      <c r="K14" s="8" t="str">
        <f t="shared" si="0"/>
        <v/>
      </c>
      <c r="N14" s="8" t="str">
        <f t="shared" si="1"/>
        <v/>
      </c>
      <c r="R14" s="8" t="str">
        <f t="shared" si="2"/>
        <v/>
      </c>
    </row>
    <row r="15" spans="1:31" x14ac:dyDescent="0.2">
      <c r="I15" s="8" t="s">
        <v>23</v>
      </c>
      <c r="K15" s="8" t="str">
        <f t="shared" si="0"/>
        <v/>
      </c>
      <c r="L15" s="14"/>
      <c r="M15" s="14"/>
      <c r="N15" s="14"/>
      <c r="O15" s="14"/>
      <c r="P15" s="14"/>
      <c r="Q15" s="14"/>
      <c r="R15" s="14"/>
      <c r="S15" s="14"/>
      <c r="T15" s="387"/>
      <c r="U15" s="387"/>
      <c r="V15" s="14"/>
    </row>
    <row r="16" spans="1:31" ht="15" x14ac:dyDescent="0.2">
      <c r="I16" s="8" t="s">
        <v>23</v>
      </c>
      <c r="K16" s="8" t="str">
        <f t="shared" si="0"/>
        <v/>
      </c>
      <c r="L16" s="14"/>
      <c r="M16" s="564"/>
      <c r="N16" s="564"/>
      <c r="O16" s="564"/>
      <c r="P16" s="14"/>
      <c r="Q16" s="14"/>
      <c r="R16" s="14"/>
      <c r="S16" s="14"/>
      <c r="T16" s="387"/>
      <c r="U16" s="387"/>
      <c r="V16" s="14"/>
    </row>
    <row r="17" spans="9:22" ht="15" x14ac:dyDescent="0.2">
      <c r="I17" s="8" t="s">
        <v>23</v>
      </c>
      <c r="K17" s="8" t="str">
        <f t="shared" si="0"/>
        <v/>
      </c>
      <c r="L17" s="14"/>
      <c r="M17" s="980"/>
      <c r="N17" s="981"/>
      <c r="O17" s="978"/>
      <c r="P17" s="14"/>
      <c r="Q17" s="14"/>
      <c r="R17" s="14"/>
      <c r="S17" s="14"/>
      <c r="T17" s="387"/>
      <c r="U17" s="387"/>
      <c r="V17" s="14"/>
    </row>
    <row r="18" spans="9:22" x14ac:dyDescent="0.2">
      <c r="I18" s="8" t="s">
        <v>23</v>
      </c>
      <c r="K18" s="8" t="str">
        <f t="shared" si="0"/>
        <v/>
      </c>
      <c r="L18" s="14"/>
      <c r="M18" s="14"/>
      <c r="N18" s="14"/>
      <c r="O18" s="14"/>
      <c r="P18" s="14"/>
      <c r="Q18" s="14"/>
      <c r="R18" s="14"/>
      <c r="S18" s="14"/>
      <c r="T18" s="387"/>
      <c r="U18" s="387"/>
      <c r="V18" s="14"/>
    </row>
    <row r="19" spans="9:22" x14ac:dyDescent="0.2">
      <c r="I19" s="8" t="s">
        <v>23</v>
      </c>
      <c r="K19" s="8" t="str">
        <f t="shared" si="0"/>
        <v/>
      </c>
      <c r="N19" s="8" t="str">
        <f t="shared" si="1"/>
        <v/>
      </c>
      <c r="R19" s="8" t="str">
        <f t="shared" si="2"/>
        <v/>
      </c>
    </row>
    <row r="20" spans="9:22" x14ac:dyDescent="0.2">
      <c r="I20" s="8" t="s">
        <v>23</v>
      </c>
      <c r="K20" s="8" t="str">
        <f t="shared" si="0"/>
        <v/>
      </c>
      <c r="N20" s="8" t="str">
        <f t="shared" si="1"/>
        <v/>
      </c>
      <c r="R20" s="8" t="str">
        <f t="shared" si="2"/>
        <v/>
      </c>
    </row>
    <row r="21" spans="9:22" x14ac:dyDescent="0.2">
      <c r="I21" s="8" t="s">
        <v>23</v>
      </c>
      <c r="K21" s="8" t="str">
        <f t="shared" si="0"/>
        <v/>
      </c>
      <c r="N21" s="8" t="str">
        <f t="shared" si="1"/>
        <v/>
      </c>
      <c r="R21" s="8" t="str">
        <f t="shared" si="2"/>
        <v/>
      </c>
    </row>
    <row r="22" spans="9:22" x14ac:dyDescent="0.2">
      <c r="I22" s="8" t="s">
        <v>23</v>
      </c>
      <c r="K22" s="8" t="str">
        <f t="shared" si="0"/>
        <v/>
      </c>
      <c r="N22" s="8" t="str">
        <f t="shared" si="1"/>
        <v/>
      </c>
      <c r="R22" s="8" t="str">
        <f t="shared" si="2"/>
        <v/>
      </c>
    </row>
    <row r="23" spans="9:22" x14ac:dyDescent="0.2">
      <c r="I23" s="8" t="s">
        <v>23</v>
      </c>
      <c r="K23" s="8" t="str">
        <f t="shared" si="0"/>
        <v/>
      </c>
      <c r="N23" s="8" t="str">
        <f t="shared" si="1"/>
        <v/>
      </c>
      <c r="R23" s="8" t="str">
        <f t="shared" si="2"/>
        <v/>
      </c>
    </row>
    <row r="24" spans="9:22" x14ac:dyDescent="0.2">
      <c r="I24" s="8" t="s">
        <v>23</v>
      </c>
      <c r="K24" s="8" t="str">
        <f t="shared" si="0"/>
        <v/>
      </c>
      <c r="N24" s="8" t="str">
        <f t="shared" si="1"/>
        <v/>
      </c>
      <c r="R24" s="8" t="str">
        <f t="shared" si="2"/>
        <v/>
      </c>
    </row>
    <row r="25" spans="9:22" x14ac:dyDescent="0.2">
      <c r="I25" s="8" t="s">
        <v>23</v>
      </c>
      <c r="K25" s="8" t="str">
        <f t="shared" si="0"/>
        <v/>
      </c>
      <c r="N25" s="8" t="str">
        <f t="shared" si="1"/>
        <v/>
      </c>
      <c r="R25" s="8" t="str">
        <f t="shared" si="2"/>
        <v/>
      </c>
    </row>
    <row r="26" spans="9:22" x14ac:dyDescent="0.2">
      <c r="I26" s="8" t="s">
        <v>23</v>
      </c>
      <c r="K26" s="8" t="str">
        <f t="shared" si="0"/>
        <v/>
      </c>
      <c r="N26" s="8" t="str">
        <f t="shared" si="1"/>
        <v/>
      </c>
      <c r="R26" s="8" t="str">
        <f t="shared" si="2"/>
        <v/>
      </c>
    </row>
    <row r="27" spans="9:22" x14ac:dyDescent="0.2">
      <c r="I27" s="8" t="s">
        <v>23</v>
      </c>
      <c r="K27" s="8" t="str">
        <f t="shared" si="0"/>
        <v/>
      </c>
      <c r="N27" s="8" t="str">
        <f t="shared" si="1"/>
        <v/>
      </c>
      <c r="R27" s="8" t="str">
        <f t="shared" si="2"/>
        <v/>
      </c>
    </row>
    <row r="28" spans="9:22" x14ac:dyDescent="0.2">
      <c r="I28" s="8" t="s">
        <v>23</v>
      </c>
      <c r="K28" s="8" t="str">
        <f t="shared" si="0"/>
        <v/>
      </c>
      <c r="N28" s="8" t="str">
        <f t="shared" si="1"/>
        <v/>
      </c>
      <c r="R28" s="8" t="str">
        <f t="shared" si="2"/>
        <v/>
      </c>
    </row>
    <row r="29" spans="9:22" x14ac:dyDescent="0.2">
      <c r="I29" s="8" t="s">
        <v>23</v>
      </c>
      <c r="K29" s="8" t="str">
        <f t="shared" si="0"/>
        <v/>
      </c>
      <c r="N29" s="8" t="str">
        <f t="shared" si="1"/>
        <v/>
      </c>
      <c r="R29" s="8" t="str">
        <f t="shared" si="2"/>
        <v/>
      </c>
    </row>
    <row r="30" spans="9:22" x14ac:dyDescent="0.2">
      <c r="I30" s="8" t="s">
        <v>23</v>
      </c>
      <c r="K30" s="8" t="str">
        <f t="shared" si="0"/>
        <v/>
      </c>
      <c r="N30" s="8" t="str">
        <f t="shared" ref="N30:N44" si="3">IFERROR(VLOOKUP(M30,$X$9:$Y$12,2,FALSE),"")</f>
        <v/>
      </c>
      <c r="R30" s="8" t="str">
        <f t="shared" ref="R30:R44" si="4">IFERROR(VLOOKUP(Q30,$X$9:$Y$12,2,FALSE),"")</f>
        <v/>
      </c>
    </row>
    <row r="31" spans="9:22" x14ac:dyDescent="0.2">
      <c r="I31" s="8" t="s">
        <v>23</v>
      </c>
      <c r="K31" s="8" t="str">
        <f t="shared" si="0"/>
        <v/>
      </c>
      <c r="N31" s="8" t="str">
        <f t="shared" si="3"/>
        <v/>
      </c>
      <c r="R31" s="8" t="str">
        <f t="shared" si="4"/>
        <v/>
      </c>
    </row>
    <row r="32" spans="9:22" x14ac:dyDescent="0.2">
      <c r="I32" s="8" t="s">
        <v>23</v>
      </c>
      <c r="K32" s="8" t="str">
        <f t="shared" si="0"/>
        <v/>
      </c>
      <c r="N32" s="8" t="str">
        <f t="shared" si="3"/>
        <v/>
      </c>
      <c r="R32" s="8" t="str">
        <f t="shared" si="4"/>
        <v/>
      </c>
    </row>
    <row r="33" spans="9:18" x14ac:dyDescent="0.2">
      <c r="I33" s="8" t="s">
        <v>23</v>
      </c>
      <c r="K33" s="8" t="str">
        <f t="shared" si="0"/>
        <v/>
      </c>
      <c r="N33" s="8" t="str">
        <f t="shared" si="3"/>
        <v/>
      </c>
      <c r="R33" s="8" t="str">
        <f t="shared" si="4"/>
        <v/>
      </c>
    </row>
    <row r="34" spans="9:18" x14ac:dyDescent="0.2">
      <c r="I34" s="8" t="s">
        <v>23</v>
      </c>
      <c r="K34" s="8" t="str">
        <f t="shared" si="0"/>
        <v/>
      </c>
      <c r="N34" s="8" t="str">
        <f t="shared" si="3"/>
        <v/>
      </c>
      <c r="R34" s="8" t="str">
        <f t="shared" si="4"/>
        <v/>
      </c>
    </row>
    <row r="35" spans="9:18" x14ac:dyDescent="0.2">
      <c r="I35" s="8" t="s">
        <v>23</v>
      </c>
      <c r="K35" s="8" t="str">
        <f t="shared" si="0"/>
        <v/>
      </c>
      <c r="N35" s="8" t="str">
        <f t="shared" si="3"/>
        <v/>
      </c>
      <c r="R35" s="8" t="str">
        <f t="shared" si="4"/>
        <v/>
      </c>
    </row>
    <row r="36" spans="9:18" x14ac:dyDescent="0.2">
      <c r="I36" s="8" t="s">
        <v>23</v>
      </c>
      <c r="K36" s="8" t="str">
        <f t="shared" si="0"/>
        <v/>
      </c>
      <c r="N36" s="8" t="str">
        <f t="shared" si="3"/>
        <v/>
      </c>
      <c r="R36" s="8" t="str">
        <f t="shared" si="4"/>
        <v/>
      </c>
    </row>
    <row r="37" spans="9:18" x14ac:dyDescent="0.2">
      <c r="I37" s="8" t="s">
        <v>23</v>
      </c>
      <c r="K37" s="8" t="str">
        <f t="shared" si="0"/>
        <v/>
      </c>
      <c r="N37" s="8" t="str">
        <f t="shared" si="3"/>
        <v/>
      </c>
      <c r="R37" s="8" t="str">
        <f t="shared" si="4"/>
        <v/>
      </c>
    </row>
    <row r="38" spans="9:18" x14ac:dyDescent="0.2">
      <c r="I38" s="8" t="s">
        <v>23</v>
      </c>
      <c r="K38" s="8" t="str">
        <f t="shared" si="0"/>
        <v/>
      </c>
      <c r="N38" s="8" t="str">
        <f t="shared" si="3"/>
        <v/>
      </c>
      <c r="R38" s="8" t="str">
        <f t="shared" si="4"/>
        <v/>
      </c>
    </row>
    <row r="39" spans="9:18" x14ac:dyDescent="0.2">
      <c r="I39" s="8" t="s">
        <v>23</v>
      </c>
      <c r="K39" s="8" t="str">
        <f t="shared" si="0"/>
        <v/>
      </c>
      <c r="N39" s="8" t="str">
        <f t="shared" si="3"/>
        <v/>
      </c>
      <c r="R39" s="8" t="str">
        <f t="shared" si="4"/>
        <v/>
      </c>
    </row>
    <row r="40" spans="9:18" x14ac:dyDescent="0.2">
      <c r="I40" s="8" t="s">
        <v>23</v>
      </c>
      <c r="K40" s="8" t="str">
        <f t="shared" si="0"/>
        <v/>
      </c>
      <c r="N40" s="8" t="str">
        <f t="shared" si="3"/>
        <v/>
      </c>
      <c r="R40" s="8" t="str">
        <f t="shared" si="4"/>
        <v/>
      </c>
    </row>
    <row r="41" spans="9:18" x14ac:dyDescent="0.2">
      <c r="I41" s="8" t="s">
        <v>23</v>
      </c>
      <c r="K41" s="8" t="str">
        <f t="shared" si="0"/>
        <v/>
      </c>
      <c r="N41" s="8" t="str">
        <f t="shared" si="3"/>
        <v/>
      </c>
      <c r="R41" s="8" t="str">
        <f t="shared" si="4"/>
        <v/>
      </c>
    </row>
    <row r="42" spans="9:18" x14ac:dyDescent="0.2">
      <c r="I42" s="8" t="s">
        <v>23</v>
      </c>
      <c r="K42" s="8" t="str">
        <f t="shared" si="0"/>
        <v/>
      </c>
      <c r="N42" s="8" t="str">
        <f t="shared" si="3"/>
        <v/>
      </c>
      <c r="R42" s="8" t="str">
        <f t="shared" si="4"/>
        <v/>
      </c>
    </row>
    <row r="43" spans="9:18" x14ac:dyDescent="0.2">
      <c r="I43" s="8" t="s">
        <v>23</v>
      </c>
      <c r="K43" s="8" t="str">
        <f t="shared" si="0"/>
        <v/>
      </c>
      <c r="N43" s="8" t="str">
        <f t="shared" si="3"/>
        <v/>
      </c>
      <c r="R43" s="8" t="str">
        <f t="shared" si="4"/>
        <v/>
      </c>
    </row>
    <row r="44" spans="9:18" x14ac:dyDescent="0.2">
      <c r="I44" s="8" t="s">
        <v>23</v>
      </c>
      <c r="K44" s="8" t="str">
        <f t="shared" si="0"/>
        <v/>
      </c>
      <c r="N44" s="8" t="str">
        <f t="shared" si="3"/>
        <v/>
      </c>
      <c r="R44" s="8" t="str">
        <f t="shared" si="4"/>
        <v/>
      </c>
    </row>
    <row r="49" spans="1:17" x14ac:dyDescent="0.2">
      <c r="A49" s="7"/>
      <c r="B49" s="7"/>
      <c r="C49" s="7"/>
      <c r="D49" s="7"/>
      <c r="E49" s="7"/>
      <c r="F49" s="7"/>
      <c r="G49" s="7"/>
      <c r="H49" s="7"/>
      <c r="I49" s="7"/>
      <c r="J49" s="7"/>
      <c r="K49" s="7"/>
      <c r="L49" s="7"/>
      <c r="M49" s="7"/>
      <c r="N49" s="7"/>
      <c r="P49" s="7"/>
      <c r="Q49" s="7"/>
    </row>
  </sheetData>
  <sheetProtection algorithmName="SHA-512" hashValue="LK0dk4srD04nhVck8IyS+/ljjOXNwulFvm6XVCTmBAuRXAfYk1+A+bCKfBfvVeavsYMOTH4L5BzXLVYEFKitrw==" saltValue="eSZ/CaB6/4iVoW/uRC4FzA==" spinCount="100000" sheet="1" objects="1" scenarios="1" formatColumns="0" formatRows="0" sort="0" autoFilter="0"/>
  <autoFilter ref="A6:S6"/>
  <dataConsolidate/>
  <mergeCells count="4">
    <mergeCell ref="M5:O5"/>
    <mergeCell ref="R5:S5"/>
    <mergeCell ref="A1:L1"/>
    <mergeCell ref="A5:L5"/>
  </mergeCells>
  <dataValidations count="3">
    <dataValidation type="list" allowBlank="1" showInputMessage="1" showErrorMessage="1" sqref="A8:A44">
      <formula1>INDIRECT($A$2)</formula1>
    </dataValidation>
    <dataValidation type="list" allowBlank="1" showInputMessage="1" showErrorMessage="1" sqref="B8:C44">
      <formula1>INDIRECT(#REF!)</formula1>
    </dataValidation>
    <dataValidation type="list" allowBlank="1" showInputMessage="1" showErrorMessage="1" sqref="J8:J44 P8:Q44 M8:M15 M18:M44">
      <formula1>$X$9:$X$12</formula1>
    </dataValidation>
  </dataValidations>
  <printOptions horizontalCentered="1"/>
  <pageMargins left="0.25" right="0.25" top="0.75" bottom="0.75" header="0.3" footer="0.3"/>
  <pageSetup paperSize="9" scale="26" orientation="landscape" cellComments="asDisplayed" r:id="rId1"/>
  <headerFooter alignWithMargins="0">
    <oddFooter>&amp;L&amp;A&amp;R&amp;P</oddFooter>
  </headerFooter>
  <colBreaks count="1" manualBreakCount="1">
    <brk id="15" max="8"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1">
    <tabColor rgb="FFFFFF00"/>
  </sheetPr>
  <dimension ref="A1:R54"/>
  <sheetViews>
    <sheetView showGridLines="0" view="pageBreakPreview" topLeftCell="A31" zoomScale="70" zoomScaleNormal="70" zoomScaleSheetLayoutView="70" workbookViewId="0">
      <selection activeCell="D30" sqref="D30:D31"/>
    </sheetView>
  </sheetViews>
  <sheetFormatPr defaultColWidth="9.140625" defaultRowHeight="12.75" x14ac:dyDescent="0.2"/>
  <cols>
    <col min="1" max="1" width="7.85546875" style="19" customWidth="1"/>
    <col min="2" max="2" width="65.42578125" style="145" customWidth="1"/>
    <col min="3" max="3" width="29.5703125" style="19" customWidth="1"/>
    <col min="4" max="4" width="26" style="19" customWidth="1"/>
    <col min="5" max="5" width="34.42578125" style="19" customWidth="1"/>
    <col min="6" max="6" width="26" style="19" customWidth="1"/>
    <col min="7" max="7" width="24.42578125" style="19" customWidth="1"/>
    <col min="8" max="8" width="25.140625" style="19" customWidth="1"/>
    <col min="9" max="9" width="36.140625" style="19" customWidth="1"/>
    <col min="10" max="10" width="23.140625" style="19" hidden="1" customWidth="1"/>
    <col min="11" max="11" width="30.140625" style="19" hidden="1" customWidth="1"/>
    <col min="12" max="12" width="0.140625" style="19" customWidth="1"/>
    <col min="13" max="16384" width="9.140625" style="94"/>
  </cols>
  <sheetData>
    <row r="1" spans="1:18" ht="44.25" customHeight="1" thickBot="1" x14ac:dyDescent="0.25">
      <c r="A1" s="1453" t="str">
        <f>IF(CoverSheet!J12="N/A","Progress Report","Progress Report with Disbursement Request")</f>
        <v>Progress Report with Disbursement Request</v>
      </c>
      <c r="B1" s="1453"/>
      <c r="C1" s="1453"/>
      <c r="D1" s="1453"/>
      <c r="E1" s="1453"/>
      <c r="F1" s="1453"/>
      <c r="G1" s="1453"/>
      <c r="H1" s="1453"/>
      <c r="I1" s="1453"/>
      <c r="J1" s="1453"/>
      <c r="K1" s="1453"/>
      <c r="L1" s="1453"/>
    </row>
    <row r="2" spans="1:18" s="133" customFormat="1" ht="33.75" customHeight="1" x14ac:dyDescent="0.2">
      <c r="A2" s="1485" t="s">
        <v>162</v>
      </c>
      <c r="B2" s="1486"/>
      <c r="C2" s="1489" t="str">
        <f>CoverSheet!F9</f>
        <v>Period of Financial Reporting</v>
      </c>
      <c r="D2" s="1490"/>
      <c r="E2" s="833" t="str">
        <f>CoverSheet!I9</f>
        <v>Beginning Date:</v>
      </c>
      <c r="F2" s="834">
        <f>IF(CoverSheet!J9="","N/A",CoverSheet!J9)</f>
        <v>42736</v>
      </c>
      <c r="G2" s="833" t="str">
        <f>CoverSheet!K9</f>
        <v>End Date:</v>
      </c>
      <c r="H2" s="835">
        <f>IF(CoverSheet!L9="","N/A",CoverSheet!L9)</f>
        <v>43100</v>
      </c>
      <c r="I2" s="836"/>
      <c r="J2" s="832"/>
      <c r="K2" s="832"/>
      <c r="L2" s="832"/>
    </row>
    <row r="3" spans="1:18" s="133" customFormat="1" ht="31.5" customHeight="1" thickBot="1" x14ac:dyDescent="0.25">
      <c r="A3" s="1487"/>
      <c r="B3" s="1488"/>
      <c r="C3" s="1491" t="s">
        <v>538</v>
      </c>
      <c r="D3" s="1492"/>
      <c r="E3" s="837" t="str">
        <f>CoverSheet!I9</f>
        <v>Beginning Date:</v>
      </c>
      <c r="F3" s="838">
        <f>IF(_00de7129_653b_4d69_830e_62f54dcfdb6c="","N/A",_00de7129_653b_4d69_830e_62f54dcfdb6c)</f>
        <v>42095</v>
      </c>
      <c r="G3" s="837" t="str">
        <f>CoverSheet!K9</f>
        <v>End Date:</v>
      </c>
      <c r="H3" s="839">
        <f>IF(CoverSheet!L9="","N/A",CoverSheet!L9)</f>
        <v>43100</v>
      </c>
      <c r="I3" s="840"/>
      <c r="J3" s="832"/>
      <c r="K3" s="832"/>
      <c r="L3" s="832"/>
    </row>
    <row r="4" spans="1:18" ht="29.25" customHeight="1" thickBot="1" x14ac:dyDescent="0.25">
      <c r="B4" s="1476" t="s">
        <v>118</v>
      </c>
      <c r="C4" s="1477"/>
      <c r="D4" s="1477"/>
      <c r="E4" s="1477"/>
      <c r="F4" s="1477"/>
      <c r="G4" s="1477"/>
      <c r="H4" s="1477"/>
      <c r="I4" s="1477"/>
      <c r="J4" s="1477"/>
      <c r="K4" s="1477"/>
      <c r="L4" s="1478"/>
      <c r="M4" s="115"/>
    </row>
    <row r="5" spans="1:18" ht="29.25" customHeight="1" x14ac:dyDescent="0.2">
      <c r="A5" s="117"/>
      <c r="B5" s="168"/>
      <c r="C5" s="1473" t="s">
        <v>70</v>
      </c>
      <c r="D5" s="1474"/>
      <c r="E5" s="1475"/>
      <c r="F5" s="1479" t="s">
        <v>115</v>
      </c>
      <c r="G5" s="1480"/>
      <c r="H5" s="1480"/>
      <c r="I5" s="1481"/>
      <c r="J5" s="1482" t="s">
        <v>101</v>
      </c>
      <c r="K5" s="1483"/>
      <c r="L5" s="1484"/>
    </row>
    <row r="6" spans="1:18" ht="76.5" customHeight="1" x14ac:dyDescent="0.2">
      <c r="A6" s="169" t="s">
        <v>113</v>
      </c>
      <c r="B6" s="170" t="s">
        <v>116</v>
      </c>
      <c r="C6" s="326" t="s">
        <v>119</v>
      </c>
      <c r="D6" s="326" t="s">
        <v>20</v>
      </c>
      <c r="E6" s="316" t="s">
        <v>27</v>
      </c>
      <c r="F6" s="171" t="s">
        <v>133</v>
      </c>
      <c r="G6" s="172" t="s">
        <v>234</v>
      </c>
      <c r="H6" s="167" t="s">
        <v>71</v>
      </c>
      <c r="I6" s="173" t="s">
        <v>27</v>
      </c>
      <c r="J6" s="174" t="s">
        <v>163</v>
      </c>
      <c r="K6" s="175" t="s">
        <v>72</v>
      </c>
      <c r="L6" s="176" t="s">
        <v>27</v>
      </c>
    </row>
    <row r="7" spans="1:18" ht="43.5" customHeight="1" thickBot="1" x14ac:dyDescent="0.25">
      <c r="A7" s="778" t="s">
        <v>451</v>
      </c>
      <c r="B7" s="181" t="s">
        <v>73</v>
      </c>
      <c r="C7" s="685">
        <v>0</v>
      </c>
      <c r="D7" s="686">
        <v>1679051.98</v>
      </c>
      <c r="E7" s="1354" t="s">
        <v>1614</v>
      </c>
      <c r="F7" s="687"/>
      <c r="G7" s="688">
        <v>0</v>
      </c>
      <c r="H7" s="689">
        <f>D7+G7</f>
        <v>1679051.98</v>
      </c>
      <c r="I7" s="919"/>
      <c r="J7" s="690">
        <v>0</v>
      </c>
      <c r="K7" s="691">
        <f>H7+J7</f>
        <v>1679051.98</v>
      </c>
      <c r="L7" s="182"/>
    </row>
    <row r="8" spans="1:18" ht="39.75" customHeight="1" x14ac:dyDescent="0.2">
      <c r="A8" s="779"/>
      <c r="B8" s="183" t="s">
        <v>190</v>
      </c>
      <c r="C8" s="184"/>
      <c r="D8" s="185"/>
      <c r="E8" s="185"/>
      <c r="F8" s="185"/>
      <c r="G8" s="185"/>
      <c r="H8" s="185"/>
      <c r="I8" s="920"/>
      <c r="J8" s="185"/>
      <c r="K8" s="186"/>
      <c r="L8" s="187"/>
    </row>
    <row r="9" spans="1:18" ht="39.75" customHeight="1" x14ac:dyDescent="0.2">
      <c r="A9" s="780"/>
      <c r="B9" s="188" t="s">
        <v>74</v>
      </c>
      <c r="C9" s="189"/>
      <c r="D9" s="189"/>
      <c r="E9" s="189"/>
      <c r="F9" s="189"/>
      <c r="G9" s="189"/>
      <c r="H9" s="189"/>
      <c r="I9" s="921"/>
      <c r="J9" s="189"/>
      <c r="K9" s="189"/>
      <c r="L9" s="190"/>
    </row>
    <row r="10" spans="1:18" ht="39.75" customHeight="1" x14ac:dyDescent="0.2">
      <c r="A10" s="778" t="s">
        <v>452</v>
      </c>
      <c r="B10" s="191" t="s">
        <v>215</v>
      </c>
      <c r="C10" s="692">
        <f>4677055+1255808</f>
        <v>5932863</v>
      </c>
      <c r="D10" s="693">
        <v>2205274.7999999998</v>
      </c>
      <c r="E10" s="1355" t="s">
        <v>1616</v>
      </c>
      <c r="F10" s="690">
        <v>0</v>
      </c>
      <c r="G10" s="694">
        <v>0</v>
      </c>
      <c r="H10" s="695">
        <f>D10+G10</f>
        <v>2205274.7999999998</v>
      </c>
      <c r="I10" s="199"/>
      <c r="J10" s="690">
        <v>0</v>
      </c>
      <c r="K10" s="695">
        <f>H10+J10</f>
        <v>2205274.7999999998</v>
      </c>
      <c r="L10" s="193"/>
    </row>
    <row r="11" spans="1:18" ht="39.75" customHeight="1" x14ac:dyDescent="0.2">
      <c r="A11" s="778" t="s">
        <v>453</v>
      </c>
      <c r="B11" s="191" t="s">
        <v>117</v>
      </c>
      <c r="C11" s="692">
        <f>22687+13236</f>
        <v>35923</v>
      </c>
      <c r="D11" s="693">
        <v>9815.14</v>
      </c>
      <c r="E11" s="1355" t="s">
        <v>1617</v>
      </c>
      <c r="F11" s="690">
        <v>0</v>
      </c>
      <c r="G11" s="694">
        <v>0</v>
      </c>
      <c r="H11" s="695">
        <f>D11+G11</f>
        <v>9815.14</v>
      </c>
      <c r="I11" s="199"/>
      <c r="J11" s="696">
        <v>0</v>
      </c>
      <c r="K11" s="695">
        <f t="shared" ref="K11:K14" si="0">H11+J11</f>
        <v>9815.14</v>
      </c>
      <c r="L11" s="193"/>
    </row>
    <row r="12" spans="1:18" ht="39.75" customHeight="1" x14ac:dyDescent="0.2">
      <c r="A12" s="778" t="s">
        <v>454</v>
      </c>
      <c r="B12" s="194" t="s">
        <v>75</v>
      </c>
      <c r="C12" s="697">
        <v>32.86</v>
      </c>
      <c r="D12" s="693">
        <v>0</v>
      </c>
      <c r="E12" s="1354" t="s">
        <v>1615</v>
      </c>
      <c r="F12" s="690">
        <v>0</v>
      </c>
      <c r="G12" s="694">
        <v>0</v>
      </c>
      <c r="H12" s="695">
        <f>D12+G12</f>
        <v>0</v>
      </c>
      <c r="I12" s="199"/>
      <c r="J12" s="690">
        <v>0</v>
      </c>
      <c r="K12" s="695">
        <f t="shared" si="0"/>
        <v>0</v>
      </c>
      <c r="L12" s="193"/>
      <c r="R12" s="116"/>
    </row>
    <row r="13" spans="1:18" ht="39.75" customHeight="1" x14ac:dyDescent="0.2">
      <c r="A13" s="778" t="s">
        <v>455</v>
      </c>
      <c r="B13" s="191" t="s">
        <v>76</v>
      </c>
      <c r="C13" s="692">
        <v>0</v>
      </c>
      <c r="D13" s="693">
        <v>0</v>
      </c>
      <c r="E13" s="1356"/>
      <c r="F13" s="690">
        <v>0</v>
      </c>
      <c r="G13" s="694">
        <v>0</v>
      </c>
      <c r="H13" s="695">
        <f>D13+G13</f>
        <v>0</v>
      </c>
      <c r="I13" s="199"/>
      <c r="J13" s="690">
        <v>0</v>
      </c>
      <c r="K13" s="695">
        <f t="shared" si="0"/>
        <v>0</v>
      </c>
      <c r="L13" s="193"/>
    </row>
    <row r="14" spans="1:18" ht="39.75" customHeight="1" x14ac:dyDescent="0.2">
      <c r="A14" s="778" t="s">
        <v>456</v>
      </c>
      <c r="B14" s="191" t="s">
        <v>77</v>
      </c>
      <c r="C14" s="1352">
        <v>147155.42000000001</v>
      </c>
      <c r="D14" s="693">
        <v>90990.09</v>
      </c>
      <c r="E14" s="1357" t="s">
        <v>1618</v>
      </c>
      <c r="F14" s="696">
        <v>0</v>
      </c>
      <c r="G14" s="694">
        <v>0</v>
      </c>
      <c r="H14" s="695">
        <f>D14+G14</f>
        <v>90990.09</v>
      </c>
      <c r="I14" s="199"/>
      <c r="J14" s="690">
        <v>0</v>
      </c>
      <c r="K14" s="695">
        <f t="shared" si="0"/>
        <v>90990.09</v>
      </c>
      <c r="L14" s="193"/>
    </row>
    <row r="15" spans="1:18" ht="39.75" customHeight="1" thickBot="1" x14ac:dyDescent="0.25">
      <c r="A15" s="778" t="s">
        <v>457</v>
      </c>
      <c r="B15" s="181" t="s">
        <v>123</v>
      </c>
      <c r="C15" s="698">
        <f>SUM(C10:C14)</f>
        <v>6115974.2800000003</v>
      </c>
      <c r="D15" s="699">
        <f>SUM(D10:D14)</f>
        <v>2306080.0299999998</v>
      </c>
      <c r="E15" s="196"/>
      <c r="F15" s="700">
        <f>SUM(F10:F14)</f>
        <v>0</v>
      </c>
      <c r="G15" s="701">
        <f>SUM(G10:G14)</f>
        <v>0</v>
      </c>
      <c r="H15" s="699">
        <f>SUM(H10:H14)</f>
        <v>2306080.0299999998</v>
      </c>
      <c r="I15" s="218"/>
      <c r="J15" s="702">
        <f>SUM(J10:J14)</f>
        <v>0</v>
      </c>
      <c r="K15" s="689">
        <f>SUM(K10:K14)</f>
        <v>2306080.0299999998</v>
      </c>
      <c r="L15" s="197"/>
    </row>
    <row r="16" spans="1:18" ht="39.75" customHeight="1" x14ac:dyDescent="0.2">
      <c r="A16" s="781"/>
      <c r="B16" s="183" t="s">
        <v>191</v>
      </c>
      <c r="C16" s="186"/>
      <c r="D16" s="186"/>
      <c r="E16" s="185"/>
      <c r="F16" s="185"/>
      <c r="G16" s="186"/>
      <c r="H16" s="186"/>
      <c r="I16" s="922"/>
      <c r="J16" s="185"/>
      <c r="K16" s="185"/>
      <c r="L16" s="198"/>
    </row>
    <row r="17" spans="1:12" ht="39.75" customHeight="1" x14ac:dyDescent="0.2">
      <c r="A17" s="778"/>
      <c r="B17" s="188" t="s">
        <v>44</v>
      </c>
      <c r="C17" s="189"/>
      <c r="D17" s="189"/>
      <c r="E17" s="189"/>
      <c r="F17" s="189"/>
      <c r="G17" s="189"/>
      <c r="H17" s="189"/>
      <c r="I17" s="921"/>
      <c r="J17" s="189"/>
      <c r="K17" s="189"/>
      <c r="L17" s="190"/>
    </row>
    <row r="18" spans="1:12" ht="39.75" customHeight="1" x14ac:dyDescent="0.2">
      <c r="A18" s="778" t="s">
        <v>458</v>
      </c>
      <c r="B18" s="194" t="s">
        <v>164</v>
      </c>
      <c r="C18" s="692">
        <f>682771.46</f>
        <v>682771.46</v>
      </c>
      <c r="D18" s="694">
        <f>769080.61+14704.07-860.24-9815.14</f>
        <v>773109.29999999993</v>
      </c>
      <c r="E18" s="1358" t="s">
        <v>1666</v>
      </c>
      <c r="F18" s="694">
        <v>0</v>
      </c>
      <c r="G18" s="694">
        <v>0</v>
      </c>
      <c r="H18" s="695">
        <f>D18+G18</f>
        <v>773109.29999999993</v>
      </c>
      <c r="I18" s="923"/>
      <c r="J18" s="694">
        <v>0</v>
      </c>
      <c r="K18" s="695">
        <f>H18+J18</f>
        <v>773109.29999999993</v>
      </c>
      <c r="L18" s="154"/>
    </row>
    <row r="19" spans="1:12" ht="39.75" customHeight="1" x14ac:dyDescent="0.2">
      <c r="A19" s="778" t="s">
        <v>459</v>
      </c>
      <c r="B19" s="191" t="s">
        <v>117</v>
      </c>
      <c r="C19" s="703">
        <f>C11</f>
        <v>35923</v>
      </c>
      <c r="D19" s="695">
        <f>D11</f>
        <v>9815.14</v>
      </c>
      <c r="E19" s="1355" t="s">
        <v>1617</v>
      </c>
      <c r="F19" s="704">
        <f>F11</f>
        <v>0</v>
      </c>
      <c r="G19" s="694">
        <f>G11</f>
        <v>0</v>
      </c>
      <c r="H19" s="695">
        <f>D19+G19</f>
        <v>9815.14</v>
      </c>
      <c r="I19" s="199"/>
      <c r="J19" s="704">
        <f>J11</f>
        <v>0</v>
      </c>
      <c r="K19" s="695">
        <f>H19+J19</f>
        <v>9815.14</v>
      </c>
      <c r="L19" s="193"/>
    </row>
    <row r="20" spans="1:12" ht="39.75" customHeight="1" x14ac:dyDescent="0.2">
      <c r="A20" s="778" t="s">
        <v>460</v>
      </c>
      <c r="B20" s="191" t="s">
        <v>122</v>
      </c>
      <c r="C20" s="692">
        <f>3828697.09-35923</f>
        <v>3792774.09</v>
      </c>
      <c r="D20" s="694">
        <f>1989936.82</f>
        <v>1989936.82</v>
      </c>
      <c r="E20" s="1358" t="s">
        <v>1666</v>
      </c>
      <c r="F20" s="696">
        <v>0</v>
      </c>
      <c r="G20" s="694">
        <v>0</v>
      </c>
      <c r="H20" s="695">
        <f>D20+G20</f>
        <v>1989936.82</v>
      </c>
      <c r="I20" s="199"/>
      <c r="J20" s="705">
        <v>0</v>
      </c>
      <c r="K20" s="695">
        <f t="shared" ref="K20:K21" si="1">H20+J20</f>
        <v>1989936.82</v>
      </c>
      <c r="L20" s="199"/>
    </row>
    <row r="21" spans="1:12" ht="39.75" customHeight="1" x14ac:dyDescent="0.2">
      <c r="A21" s="778" t="s">
        <v>461</v>
      </c>
      <c r="B21" s="194" t="s">
        <v>152</v>
      </c>
      <c r="C21" s="697">
        <v>1883.07</v>
      </c>
      <c r="D21" s="694">
        <v>860.24</v>
      </c>
      <c r="E21" s="1358" t="s">
        <v>1666</v>
      </c>
      <c r="F21" s="690">
        <v>0</v>
      </c>
      <c r="G21" s="694">
        <v>0</v>
      </c>
      <c r="H21" s="695">
        <f>D21+G21</f>
        <v>860.24</v>
      </c>
      <c r="I21" s="199"/>
      <c r="J21" s="705">
        <v>0</v>
      </c>
      <c r="K21" s="695">
        <f t="shared" si="1"/>
        <v>860.24</v>
      </c>
      <c r="L21" s="193"/>
    </row>
    <row r="22" spans="1:12" ht="39.75" customHeight="1" thickBot="1" x14ac:dyDescent="0.25">
      <c r="A22" s="778" t="s">
        <v>462</v>
      </c>
      <c r="B22" s="200" t="s">
        <v>165</v>
      </c>
      <c r="C22" s="706">
        <f>SUM(C18:C21)</f>
        <v>4513351.62</v>
      </c>
      <c r="D22" s="707">
        <f>SUM(D18:D21)</f>
        <v>2773721.5</v>
      </c>
      <c r="E22" s="932"/>
      <c r="F22" s="708">
        <f>SUM(F18:F21)</f>
        <v>0</v>
      </c>
      <c r="G22" s="701">
        <f>SUM(G18:G21)</f>
        <v>0</v>
      </c>
      <c r="H22" s="701">
        <f>SUM(H18:H21)</f>
        <v>2773721.5</v>
      </c>
      <c r="I22" s="231"/>
      <c r="J22" s="702">
        <f>SUM(J18:J21)</f>
        <v>0</v>
      </c>
      <c r="K22" s="691">
        <f>SUM(K18:K21)</f>
        <v>2773721.5</v>
      </c>
      <c r="L22" s="182"/>
    </row>
    <row r="23" spans="1:12" ht="39.75" customHeight="1" x14ac:dyDescent="0.2">
      <c r="A23" s="781"/>
      <c r="B23" s="201" t="s">
        <v>192</v>
      </c>
      <c r="C23" s="185"/>
      <c r="D23" s="185"/>
      <c r="E23" s="185"/>
      <c r="F23" s="185"/>
      <c r="G23" s="186"/>
      <c r="H23" s="186"/>
      <c r="I23" s="922"/>
      <c r="J23" s="185"/>
      <c r="K23" s="186"/>
      <c r="L23" s="198"/>
    </row>
    <row r="24" spans="1:12" ht="39.75" customHeight="1" x14ac:dyDescent="0.2">
      <c r="A24" s="778" t="s">
        <v>463</v>
      </c>
      <c r="B24" s="191" t="s">
        <v>78</v>
      </c>
      <c r="C24" s="709">
        <v>-7982.8</v>
      </c>
      <c r="D24" s="710">
        <v>-4524.76</v>
      </c>
      <c r="E24" s="192" t="s">
        <v>1613</v>
      </c>
      <c r="F24" s="709">
        <v>0</v>
      </c>
      <c r="G24" s="711">
        <v>0</v>
      </c>
      <c r="H24" s="695">
        <f>D24+G24</f>
        <v>-4524.76</v>
      </c>
      <c r="I24" s="199"/>
      <c r="J24" s="705">
        <v>0</v>
      </c>
      <c r="K24" s="695">
        <f>H24+J24</f>
        <v>-4524.76</v>
      </c>
      <c r="L24" s="193"/>
    </row>
    <row r="25" spans="1:12" ht="39.75" customHeight="1" x14ac:dyDescent="0.2">
      <c r="A25" s="778" t="s">
        <v>464</v>
      </c>
      <c r="B25" s="194" t="s">
        <v>79</v>
      </c>
      <c r="C25" s="705">
        <v>-1822.68</v>
      </c>
      <c r="D25" s="710">
        <v>-1486.37</v>
      </c>
      <c r="E25" s="1354" t="s">
        <v>1619</v>
      </c>
      <c r="F25" s="705">
        <v>0</v>
      </c>
      <c r="G25" s="711">
        <v>0</v>
      </c>
      <c r="H25" s="695">
        <f>D25+G25</f>
        <v>-1486.37</v>
      </c>
      <c r="I25" s="199"/>
      <c r="J25" s="705">
        <v>0</v>
      </c>
      <c r="K25" s="695">
        <f t="shared" ref="K25:K27" si="2">H25+J25</f>
        <v>-1486.37</v>
      </c>
      <c r="L25" s="193"/>
    </row>
    <row r="26" spans="1:12" ht="39.75" customHeight="1" x14ac:dyDescent="0.2">
      <c r="A26" s="778" t="s">
        <v>465</v>
      </c>
      <c r="B26" s="194" t="s">
        <v>153</v>
      </c>
      <c r="C26" s="705">
        <v>0</v>
      </c>
      <c r="D26" s="710">
        <v>0</v>
      </c>
      <c r="E26" s="192"/>
      <c r="F26" s="709">
        <v>0</v>
      </c>
      <c r="G26" s="711">
        <v>0</v>
      </c>
      <c r="H26" s="695">
        <f>D26+G26</f>
        <v>0</v>
      </c>
      <c r="I26" s="199"/>
      <c r="J26" s="705">
        <v>0</v>
      </c>
      <c r="K26" s="695">
        <f t="shared" si="2"/>
        <v>0</v>
      </c>
      <c r="L26" s="193"/>
    </row>
    <row r="27" spans="1:12" ht="39.75" customHeight="1" x14ac:dyDescent="0.2">
      <c r="A27" s="778" t="s">
        <v>466</v>
      </c>
      <c r="B27" s="194" t="s">
        <v>167</v>
      </c>
      <c r="C27" s="705">
        <v>0</v>
      </c>
      <c r="D27" s="710">
        <v>0</v>
      </c>
      <c r="E27" s="192"/>
      <c r="F27" s="709">
        <v>0</v>
      </c>
      <c r="G27" s="711">
        <v>0</v>
      </c>
      <c r="H27" s="695">
        <f>D27+G27</f>
        <v>0</v>
      </c>
      <c r="I27" s="199"/>
      <c r="J27" s="714">
        <v>0</v>
      </c>
      <c r="K27" s="713">
        <f t="shared" si="2"/>
        <v>0</v>
      </c>
      <c r="L27" s="202"/>
    </row>
    <row r="28" spans="1:12" ht="39.75" customHeight="1" thickBot="1" x14ac:dyDescent="0.25">
      <c r="A28" s="778" t="s">
        <v>594</v>
      </c>
      <c r="B28" s="194" t="s">
        <v>613</v>
      </c>
      <c r="C28" s="705">
        <v>0</v>
      </c>
      <c r="D28" s="710">
        <v>0</v>
      </c>
      <c r="E28" s="192"/>
      <c r="F28" s="709">
        <v>0</v>
      </c>
      <c r="G28" s="711">
        <v>0</v>
      </c>
      <c r="H28" s="695">
        <f>D28+G28</f>
        <v>0</v>
      </c>
      <c r="I28" s="199"/>
      <c r="J28" s="714">
        <v>0</v>
      </c>
      <c r="K28" s="713">
        <f>H28+J28</f>
        <v>0</v>
      </c>
      <c r="L28" s="1080"/>
    </row>
    <row r="29" spans="1:12" ht="39.75" customHeight="1" x14ac:dyDescent="0.2">
      <c r="A29" s="781"/>
      <c r="B29" s="1465" t="s">
        <v>193</v>
      </c>
      <c r="C29" s="1466"/>
      <c r="D29" s="1466"/>
      <c r="E29" s="1466"/>
      <c r="F29" s="1466"/>
      <c r="G29" s="1466"/>
      <c r="H29" s="1466"/>
      <c r="I29" s="1466"/>
      <c r="J29" s="1466"/>
      <c r="K29" s="1466"/>
      <c r="L29" s="1467"/>
    </row>
    <row r="30" spans="1:12" ht="39.75" customHeight="1" x14ac:dyDescent="0.2">
      <c r="A30" s="778" t="s">
        <v>467</v>
      </c>
      <c r="B30" s="188" t="s">
        <v>127</v>
      </c>
      <c r="C30" s="685">
        <v>0</v>
      </c>
      <c r="D30" s="715">
        <f>(D7+D15-D22)+D24+D25+D27-D28</f>
        <v>1205399.3799999997</v>
      </c>
      <c r="E30" s="1358" t="s">
        <v>1666</v>
      </c>
      <c r="F30" s="716"/>
      <c r="G30" s="715">
        <f>G7+(G15-G22)+G25+G24-G26-G28</f>
        <v>0</v>
      </c>
      <c r="H30" s="715">
        <f>(H7+H15-H22)+H24+H25-H26-H28</f>
        <v>1205399.3799999997</v>
      </c>
      <c r="I30" s="924"/>
      <c r="J30" s="715">
        <f>J7+J15-J22+J25+J24</f>
        <v>0</v>
      </c>
      <c r="K30" s="715">
        <f>K7+K15-K22+K25+K24-K26-K28</f>
        <v>1205399.3799999997</v>
      </c>
      <c r="L30" s="203"/>
    </row>
    <row r="31" spans="1:12" ht="39.75" customHeight="1" x14ac:dyDescent="0.2">
      <c r="A31" s="778" t="s">
        <v>468</v>
      </c>
      <c r="B31" s="188" t="s">
        <v>128</v>
      </c>
      <c r="C31" s="685">
        <v>0</v>
      </c>
      <c r="D31" s="715">
        <f>'SR_Cash Reconciliation_2E'!H111</f>
        <v>133974.08000000005</v>
      </c>
      <c r="E31" s="1358" t="s">
        <v>1666</v>
      </c>
      <c r="F31" s="717"/>
      <c r="G31" s="715">
        <f>'SR_Cash Reconciliation_2E'!L111</f>
        <v>0</v>
      </c>
      <c r="H31" s="715">
        <f>'SR_Cash Reconciliation_2E'!M111</f>
        <v>133974.08000000005</v>
      </c>
      <c r="I31" s="924"/>
      <c r="J31" s="718">
        <v>0</v>
      </c>
      <c r="K31" s="715">
        <f>+H31+J31</f>
        <v>133974.08000000005</v>
      </c>
      <c r="L31" s="204"/>
    </row>
    <row r="32" spans="1:12" ht="39.75" customHeight="1" thickBot="1" x14ac:dyDescent="0.25">
      <c r="A32" s="778" t="s">
        <v>469</v>
      </c>
      <c r="B32" s="918" t="s">
        <v>120</v>
      </c>
      <c r="C32" s="719">
        <f>C30+C31</f>
        <v>0</v>
      </c>
      <c r="D32" s="699">
        <f>D30+D31</f>
        <v>1339373.4599999997</v>
      </c>
      <c r="E32" s="931"/>
      <c r="F32" s="720">
        <f>F30+F31</f>
        <v>0</v>
      </c>
      <c r="G32" s="699">
        <f>G30+G31</f>
        <v>0</v>
      </c>
      <c r="H32" s="699">
        <f>H30+H31</f>
        <v>1339373.4599999997</v>
      </c>
      <c r="I32" s="925"/>
      <c r="J32" s="698">
        <f>J30+J31</f>
        <v>0</v>
      </c>
      <c r="K32" s="699">
        <f>K30+K31</f>
        <v>1339373.4599999997</v>
      </c>
      <c r="L32" s="346"/>
    </row>
    <row r="33" spans="1:12" ht="15.75" thickBot="1" x14ac:dyDescent="0.25">
      <c r="A33" s="781"/>
      <c r="B33" s="206"/>
      <c r="C33" s="721"/>
      <c r="D33" s="721"/>
      <c r="E33" s="207"/>
      <c r="F33" s="721"/>
      <c r="G33" s="721"/>
      <c r="H33" s="721"/>
      <c r="I33" s="207"/>
      <c r="J33" s="721"/>
      <c r="K33" s="721"/>
      <c r="L33" s="207"/>
    </row>
    <row r="34" spans="1:12" ht="43.5" customHeight="1" thickBot="1" x14ac:dyDescent="0.25">
      <c r="A34" s="778"/>
      <c r="B34" s="1468" t="s">
        <v>121</v>
      </c>
      <c r="C34" s="1469"/>
      <c r="D34" s="1469"/>
      <c r="E34" s="1469"/>
      <c r="F34" s="1469"/>
      <c r="G34" s="1469"/>
      <c r="H34" s="1469"/>
      <c r="I34" s="1469"/>
      <c r="J34" s="1469"/>
      <c r="K34" s="1469"/>
      <c r="L34" s="1470"/>
    </row>
    <row r="35" spans="1:12" ht="36.75" customHeight="1" x14ac:dyDescent="0.2">
      <c r="A35" s="778"/>
      <c r="B35" s="1471"/>
      <c r="C35" s="1473" t="s">
        <v>70</v>
      </c>
      <c r="D35" s="1474"/>
      <c r="E35" s="1475"/>
      <c r="F35" s="1479" t="s">
        <v>115</v>
      </c>
      <c r="G35" s="1480"/>
      <c r="H35" s="1480"/>
      <c r="I35" s="1481"/>
      <c r="J35" s="1493" t="s">
        <v>101</v>
      </c>
      <c r="K35" s="1494"/>
      <c r="L35" s="1495"/>
    </row>
    <row r="36" spans="1:12" ht="50.25" customHeight="1" thickBot="1" x14ac:dyDescent="0.25">
      <c r="A36" s="778"/>
      <c r="B36" s="1472"/>
      <c r="C36" s="326"/>
      <c r="D36" s="326" t="s">
        <v>233</v>
      </c>
      <c r="E36" s="316" t="s">
        <v>27</v>
      </c>
      <c r="F36" s="208"/>
      <c r="G36" s="209" t="s">
        <v>234</v>
      </c>
      <c r="H36" s="180" t="s">
        <v>71</v>
      </c>
      <c r="I36" s="210" t="s">
        <v>27</v>
      </c>
      <c r="J36" s="211" t="s">
        <v>166</v>
      </c>
      <c r="K36" s="175" t="s">
        <v>72</v>
      </c>
      <c r="L36" s="176" t="s">
        <v>27</v>
      </c>
    </row>
    <row r="37" spans="1:12" ht="36" customHeight="1" x14ac:dyDescent="0.2">
      <c r="A37" s="778" t="s">
        <v>470</v>
      </c>
      <c r="B37" s="212" t="s">
        <v>126</v>
      </c>
      <c r="C37" s="213"/>
      <c r="D37" s="710">
        <v>0</v>
      </c>
      <c r="E37" s="192"/>
      <c r="F37" s="722"/>
      <c r="G37" s="711">
        <v>0</v>
      </c>
      <c r="H37" s="695">
        <f>D37+G37</f>
        <v>0</v>
      </c>
      <c r="I37" s="199"/>
      <c r="J37" s="723">
        <v>0</v>
      </c>
      <c r="K37" s="695">
        <f>H37+J37</f>
        <v>0</v>
      </c>
      <c r="L37" s="199"/>
    </row>
    <row r="38" spans="1:12" ht="36" customHeight="1" x14ac:dyDescent="0.2">
      <c r="A38" s="778" t="s">
        <v>471</v>
      </c>
      <c r="B38" s="214" t="s">
        <v>80</v>
      </c>
      <c r="C38" s="213"/>
      <c r="D38" s="710">
        <v>0</v>
      </c>
      <c r="E38" s="195"/>
      <c r="F38" s="724"/>
      <c r="G38" s="711">
        <v>0</v>
      </c>
      <c r="H38" s="695">
        <f>D38+G38</f>
        <v>0</v>
      </c>
      <c r="I38" s="199"/>
      <c r="J38" s="723">
        <v>0</v>
      </c>
      <c r="K38" s="695">
        <f t="shared" ref="K38:K39" si="3">H38+J38</f>
        <v>0</v>
      </c>
      <c r="L38" s="199"/>
    </row>
    <row r="39" spans="1:12" ht="36" customHeight="1" thickBot="1" x14ac:dyDescent="0.25">
      <c r="A39" s="778" t="s">
        <v>472</v>
      </c>
      <c r="B39" s="215" t="s">
        <v>81</v>
      </c>
      <c r="C39" s="216"/>
      <c r="D39" s="725">
        <f>86036+3530.81</f>
        <v>89566.81</v>
      </c>
      <c r="E39" s="217" t="s">
        <v>1665</v>
      </c>
      <c r="F39" s="726"/>
      <c r="G39" s="725">
        <v>0</v>
      </c>
      <c r="H39" s="727">
        <f>D39+G39</f>
        <v>89566.81</v>
      </c>
      <c r="I39" s="218"/>
      <c r="J39" s="728">
        <v>0</v>
      </c>
      <c r="K39" s="729">
        <f t="shared" si="3"/>
        <v>89566.81</v>
      </c>
      <c r="L39" s="218"/>
    </row>
    <row r="40" spans="1:12" ht="15.75" thickBot="1" x14ac:dyDescent="0.25">
      <c r="A40" s="782"/>
      <c r="B40" s="206"/>
      <c r="C40" s="721"/>
      <c r="D40" s="721"/>
      <c r="E40" s="207"/>
      <c r="F40" s="721"/>
      <c r="G40" s="721"/>
      <c r="H40" s="721"/>
      <c r="I40" s="926"/>
      <c r="J40" s="721"/>
      <c r="K40" s="721"/>
      <c r="L40" s="207"/>
    </row>
    <row r="41" spans="1:12" ht="43.5" customHeight="1" thickBot="1" x14ac:dyDescent="0.25">
      <c r="A41" s="778"/>
      <c r="B41" s="1496" t="s">
        <v>616</v>
      </c>
      <c r="C41" s="1469"/>
      <c r="D41" s="1469"/>
      <c r="E41" s="1469"/>
      <c r="F41" s="1469"/>
      <c r="G41" s="1469"/>
      <c r="H41" s="1469"/>
      <c r="I41" s="1469"/>
      <c r="J41" s="1469"/>
      <c r="K41" s="1469"/>
      <c r="L41" s="1470"/>
    </row>
    <row r="42" spans="1:12" ht="41.45" customHeight="1" x14ac:dyDescent="0.2">
      <c r="A42" s="778" t="s">
        <v>473</v>
      </c>
      <c r="B42" s="188" t="s">
        <v>609</v>
      </c>
      <c r="C42" s="685">
        <v>0</v>
      </c>
      <c r="D42" s="730">
        <v>272790</v>
      </c>
      <c r="E42" s="930" t="s">
        <v>1664</v>
      </c>
      <c r="F42" s="685">
        <v>0</v>
      </c>
      <c r="G42" s="731">
        <v>0</v>
      </c>
      <c r="H42" s="732">
        <f>D42+G42</f>
        <v>272790</v>
      </c>
      <c r="I42" s="927"/>
      <c r="J42" s="705">
        <v>0</v>
      </c>
      <c r="K42" s="733">
        <f>H42+J42</f>
        <v>272790</v>
      </c>
      <c r="L42" s="193"/>
    </row>
    <row r="43" spans="1:12" ht="45.6" customHeight="1" x14ac:dyDescent="0.2">
      <c r="A43" s="778" t="s">
        <v>474</v>
      </c>
      <c r="B43" s="188" t="s">
        <v>610</v>
      </c>
      <c r="C43" s="685">
        <v>0</v>
      </c>
      <c r="D43" s="734"/>
      <c r="E43" s="930"/>
      <c r="F43" s="685">
        <v>0</v>
      </c>
      <c r="G43" s="694">
        <v>0</v>
      </c>
      <c r="H43" s="735">
        <f>D43+G43</f>
        <v>0</v>
      </c>
      <c r="I43" s="927"/>
      <c r="J43" s="705">
        <v>0</v>
      </c>
      <c r="K43" s="736">
        <f>H43+J43</f>
        <v>0</v>
      </c>
      <c r="L43" s="193"/>
    </row>
    <row r="44" spans="1:12" ht="33.6" customHeight="1" thickBot="1" x14ac:dyDescent="0.25">
      <c r="A44" s="782" t="s">
        <v>475</v>
      </c>
      <c r="B44" s="205" t="s">
        <v>611</v>
      </c>
      <c r="C44" s="685">
        <f>SUM(C42:C43)</f>
        <v>0</v>
      </c>
      <c r="D44" s="737">
        <f>SUM(D42:D43)</f>
        <v>272790</v>
      </c>
      <c r="E44" s="929"/>
      <c r="F44" s="685">
        <f>SUM(F42:F43)</f>
        <v>0</v>
      </c>
      <c r="G44" s="701">
        <f>SUM(G42:G43)</f>
        <v>0</v>
      </c>
      <c r="H44" s="738">
        <f>SUM(H42:H43)</f>
        <v>272790</v>
      </c>
      <c r="I44" s="928"/>
      <c r="J44" s="701">
        <f>SUM(J42:J43)</f>
        <v>0</v>
      </c>
      <c r="K44" s="691">
        <f>SUM(K42:K43)</f>
        <v>272790</v>
      </c>
      <c r="L44" s="182"/>
    </row>
    <row r="45" spans="1:12" ht="15.75" thickBot="1" x14ac:dyDescent="0.25">
      <c r="A45" s="782"/>
      <c r="B45" s="206"/>
      <c r="C45" s="721"/>
      <c r="D45" s="721"/>
      <c r="E45" s="207"/>
      <c r="F45" s="721"/>
      <c r="G45" s="721"/>
      <c r="H45" s="721"/>
      <c r="I45" s="207"/>
      <c r="J45" s="721"/>
      <c r="K45" s="721"/>
      <c r="L45" s="207"/>
    </row>
    <row r="46" spans="1:12" ht="42" customHeight="1" thickBot="1" x14ac:dyDescent="0.25">
      <c r="A46" s="782"/>
      <c r="B46" s="1497" t="s">
        <v>240</v>
      </c>
      <c r="C46" s="1469"/>
      <c r="D46" s="1469"/>
      <c r="E46" s="1469"/>
      <c r="F46" s="1469"/>
      <c r="G46" s="1469"/>
      <c r="H46" s="1469"/>
      <c r="I46" s="1469"/>
      <c r="J46" s="1469"/>
      <c r="K46" s="1469"/>
      <c r="L46" s="1470"/>
    </row>
    <row r="47" spans="1:12" ht="33" customHeight="1" x14ac:dyDescent="0.2">
      <c r="A47" s="782"/>
      <c r="B47" s="219"/>
      <c r="C47" s="1473" t="s">
        <v>70</v>
      </c>
      <c r="D47" s="1474"/>
      <c r="E47" s="1475"/>
      <c r="F47" s="1498" t="s">
        <v>115</v>
      </c>
      <c r="G47" s="1499"/>
      <c r="H47" s="1499"/>
      <c r="I47" s="1500"/>
      <c r="J47" s="1493" t="s">
        <v>101</v>
      </c>
      <c r="K47" s="1494"/>
      <c r="L47" s="1495"/>
    </row>
    <row r="48" spans="1:12" ht="120.75" thickBot="1" x14ac:dyDescent="0.25">
      <c r="A48" s="782"/>
      <c r="B48" s="220"/>
      <c r="C48" s="326" t="s">
        <v>119</v>
      </c>
      <c r="D48" s="326" t="s">
        <v>20</v>
      </c>
      <c r="E48" s="316" t="s">
        <v>27</v>
      </c>
      <c r="F48" s="221" t="s">
        <v>133</v>
      </c>
      <c r="G48" s="222" t="s">
        <v>234</v>
      </c>
      <c r="H48" s="223" t="s">
        <v>71</v>
      </c>
      <c r="I48" s="224" t="s">
        <v>27</v>
      </c>
      <c r="J48" s="225" t="s">
        <v>166</v>
      </c>
      <c r="K48" s="226" t="s">
        <v>72</v>
      </c>
      <c r="L48" s="227" t="s">
        <v>27</v>
      </c>
    </row>
    <row r="49" spans="1:12" ht="36" customHeight="1" x14ac:dyDescent="0.2">
      <c r="A49" s="778" t="s">
        <v>476</v>
      </c>
      <c r="B49" s="228" t="s">
        <v>155</v>
      </c>
      <c r="C49" s="213">
        <v>0</v>
      </c>
      <c r="D49" s="710">
        <v>0</v>
      </c>
      <c r="E49" s="195"/>
      <c r="F49" s="685"/>
      <c r="G49" s="711">
        <v>0</v>
      </c>
      <c r="H49" s="695">
        <f>D49+G49</f>
        <v>0</v>
      </c>
      <c r="I49" s="927"/>
      <c r="J49" s="712">
        <v>0</v>
      </c>
      <c r="K49" s="695">
        <f>H49+J49</f>
        <v>0</v>
      </c>
      <c r="L49" s="199"/>
    </row>
    <row r="50" spans="1:12" ht="36" customHeight="1" x14ac:dyDescent="0.2">
      <c r="A50" s="778" t="s">
        <v>477</v>
      </c>
      <c r="B50" s="194" t="s">
        <v>153</v>
      </c>
      <c r="C50" s="704">
        <f>C26</f>
        <v>0</v>
      </c>
      <c r="D50" s="695">
        <f>D26</f>
        <v>0</v>
      </c>
      <c r="E50" s="192"/>
      <c r="F50" s="739">
        <f>F26</f>
        <v>0</v>
      </c>
      <c r="G50" s="695">
        <f>G26</f>
        <v>0</v>
      </c>
      <c r="H50" s="695">
        <f>D50+G50</f>
        <v>0</v>
      </c>
      <c r="I50" s="927"/>
      <c r="J50" s="695">
        <f>J26</f>
        <v>0</v>
      </c>
      <c r="K50" s="695">
        <f t="shared" ref="K50:K51" si="4">H50+J50</f>
        <v>0</v>
      </c>
      <c r="L50" s="199"/>
    </row>
    <row r="51" spans="1:12" ht="36" customHeight="1" x14ac:dyDescent="0.2">
      <c r="A51" s="778" t="s">
        <v>478</v>
      </c>
      <c r="B51" s="191" t="s">
        <v>154</v>
      </c>
      <c r="C51" s="740">
        <f>C27</f>
        <v>0</v>
      </c>
      <c r="D51" s="695">
        <f>D27</f>
        <v>0</v>
      </c>
      <c r="E51" s="192"/>
      <c r="F51" s="740">
        <f>F27</f>
        <v>0</v>
      </c>
      <c r="G51" s="695">
        <f>G27</f>
        <v>0</v>
      </c>
      <c r="H51" s="695">
        <f>D51+G51</f>
        <v>0</v>
      </c>
      <c r="I51" s="927"/>
      <c r="J51" s="704">
        <f>J27</f>
        <v>0</v>
      </c>
      <c r="K51" s="695">
        <f t="shared" si="4"/>
        <v>0</v>
      </c>
      <c r="L51" s="199"/>
    </row>
    <row r="52" spans="1:12" ht="36" customHeight="1" x14ac:dyDescent="0.2">
      <c r="A52" s="778" t="s">
        <v>479</v>
      </c>
      <c r="B52" s="194" t="s">
        <v>156</v>
      </c>
      <c r="C52" s="705">
        <v>0</v>
      </c>
      <c r="D52" s="695">
        <f>D49+C52</f>
        <v>0</v>
      </c>
      <c r="E52" s="195"/>
      <c r="F52" s="718">
        <v>0</v>
      </c>
      <c r="G52" s="718">
        <f>H49</f>
        <v>0</v>
      </c>
      <c r="H52" s="695">
        <f>F52+G52</f>
        <v>0</v>
      </c>
      <c r="I52" s="927"/>
      <c r="J52" s="711">
        <v>0</v>
      </c>
      <c r="K52" s="695">
        <f>H52+J52</f>
        <v>0</v>
      </c>
      <c r="L52" s="229"/>
    </row>
    <row r="53" spans="1:12" ht="36" customHeight="1" thickBot="1" x14ac:dyDescent="0.25">
      <c r="A53" s="778" t="s">
        <v>480</v>
      </c>
      <c r="B53" s="205" t="s">
        <v>157</v>
      </c>
      <c r="C53" s="741">
        <f>C52-C50-C51</f>
        <v>0</v>
      </c>
      <c r="D53" s="742">
        <f>C53+D49-D50-D51</f>
        <v>0</v>
      </c>
      <c r="E53" s="230"/>
      <c r="F53" s="743">
        <f>F52-F50-F51</f>
        <v>0</v>
      </c>
      <c r="G53" s="213"/>
      <c r="H53" s="713">
        <f>H52-F50-F51-H50-H51</f>
        <v>0</v>
      </c>
      <c r="I53" s="231"/>
      <c r="J53" s="213">
        <v>0</v>
      </c>
      <c r="K53" s="701">
        <f>K52-F50-F51-K50-K51</f>
        <v>0</v>
      </c>
      <c r="L53" s="231"/>
    </row>
    <row r="54" spans="1:12" ht="15" x14ac:dyDescent="0.2">
      <c r="B54" s="232"/>
      <c r="C54" s="117"/>
      <c r="D54" s="117"/>
      <c r="E54" s="117"/>
      <c r="F54" s="117"/>
      <c r="G54" s="117"/>
      <c r="H54" s="327"/>
      <c r="I54" s="117"/>
      <c r="J54" s="117"/>
      <c r="K54" s="117"/>
      <c r="L54" s="117"/>
    </row>
  </sheetData>
  <sheetProtection algorithmName="SHA-512" hashValue="2meL4XmW01HqyGIvYBtcGpDy1sNTWoU+uADTV808QH3VczWaG1mMrDErB3KjLOA8fadr3Nw7PMDc8J5RGfVSKA==" saltValue="qIx7p8lOmn6WRp7POtCTJA==" spinCount="100000" sheet="1" objects="1" scenarios="1" formatColumns="0" formatRows="0" sort="0" autoFilter="0"/>
  <mergeCells count="19">
    <mergeCell ref="B41:L41"/>
    <mergeCell ref="B46:L46"/>
    <mergeCell ref="C47:E47"/>
    <mergeCell ref="F47:I47"/>
    <mergeCell ref="J47:L47"/>
    <mergeCell ref="B29:L29"/>
    <mergeCell ref="B34:L34"/>
    <mergeCell ref="B35:B36"/>
    <mergeCell ref="C35:E35"/>
    <mergeCell ref="A1:L1"/>
    <mergeCell ref="B4:L4"/>
    <mergeCell ref="C5:E5"/>
    <mergeCell ref="F5:I5"/>
    <mergeCell ref="J5:L5"/>
    <mergeCell ref="A2:B3"/>
    <mergeCell ref="C2:D2"/>
    <mergeCell ref="C3:D3"/>
    <mergeCell ref="F35:I35"/>
    <mergeCell ref="J35:L35"/>
  </mergeCells>
  <printOptions horizontalCentered="1" verticalCentered="1"/>
  <pageMargins left="0.23622047244094491" right="0.23622047244094491" top="0.74803149606299213" bottom="0.74803149606299213" header="0.31496062992125984" footer="0.31496062992125984"/>
  <pageSetup paperSize="8" scale="76" orientation="landscape" r:id="rId1"/>
  <headerFooter>
    <oddFooter>&amp;L&amp;A&amp;R&amp;P</oddFooter>
  </headerFooter>
  <colBreaks count="1" manualBreakCount="1">
    <brk id="9" max="64" man="1"/>
  </colBreaks>
  <extLst>
    <ext xmlns:x14="http://schemas.microsoft.com/office/spreadsheetml/2009/9/main" uri="{78C0D931-6437-407d-A8EE-F0AAD7539E65}">
      <x14:conditionalFormattings>
        <x14:conditionalFormatting xmlns:xm="http://schemas.microsoft.com/office/excel/2006/main">
          <x14:cfRule type="expression" priority="17" id="{00BC93F0-D2EF-4C58-A181-DEC8F121D041}">
            <xm:f>CoverSheet!$D$11="EUR"</xm:f>
            <x14:dxf>
              <numFmt numFmtId="183" formatCode="[$€-2]\ #,##0.00;[Red]\-[$€-2]\ #,##0.00"/>
            </x14:dxf>
          </x14:cfRule>
          <xm:sqref>D7 G7:H7 J10:K15 F10:H15 C10:D15 C18:D22 F24:H26 C24:D26 D30:D32 G30:H32 J30:K32 D37:D39 G37:H39 J37:K39 F18:H22 C50:D53 J18:K22 F50:H52 J7:K7 D49 F53 H53 J49:K52 K53 J24:K28 G49:H49 D42:D44 G42:H44</xm:sqref>
        </x14:conditionalFormatting>
        <x14:conditionalFormatting xmlns:xm="http://schemas.microsoft.com/office/excel/2006/main">
          <x14:cfRule type="expression" priority="5" id="{29C428BE-D910-4387-9F2F-5DB34B66451D}">
            <xm:f>CoverSheet!$D$11="EUR"</xm:f>
            <x14:dxf>
              <numFmt numFmtId="183" formatCode="[$€-2]\ #,##0.00;[Red]\-[$€-2]\ #,##0.00"/>
            </x14:dxf>
          </x14:cfRule>
          <xm:sqref>F27:H27 C27:D27</xm:sqref>
        </x14:conditionalFormatting>
        <x14:conditionalFormatting xmlns:xm="http://schemas.microsoft.com/office/excel/2006/main">
          <x14:cfRule type="expression" priority="3" id="{5A9DC541-BAAE-4443-86A6-A13DD56AB193}">
            <xm:f>CoverSheet!$D$11="EUR"</xm:f>
            <x14:dxf>
              <numFmt numFmtId="183" formatCode="[$€-2]\ #,##0.00;[Red]\-[$€-2]\ #,##0.00"/>
            </x14:dxf>
          </x14:cfRule>
          <xm:sqref>C28:D28</xm:sqref>
        </x14:conditionalFormatting>
        <x14:conditionalFormatting xmlns:xm="http://schemas.microsoft.com/office/excel/2006/main">
          <x14:cfRule type="expression" priority="2" id="{7F70D7EE-64D3-4630-8DDE-BC68362B7422}">
            <xm:f>CoverSheet!$D$11="EUR"</xm:f>
            <x14:dxf>
              <numFmt numFmtId="183" formatCode="[$€-2]\ #,##0.00;[Red]\-[$€-2]\ #,##0.00"/>
            </x14:dxf>
          </x14:cfRule>
          <xm:sqref>F28:G28</xm:sqref>
        </x14:conditionalFormatting>
        <x14:conditionalFormatting xmlns:xm="http://schemas.microsoft.com/office/excel/2006/main">
          <x14:cfRule type="expression" priority="1" id="{5CF5B6BB-B50B-403B-9D23-EFF5DA6B0FF3}">
            <xm:f>CoverSheet!$D$11="EUR"</xm:f>
            <x14:dxf>
              <numFmt numFmtId="183" formatCode="[$€-2]\ #,##0.00;[Red]\-[$€-2]\ #,##0.00"/>
            </x14:dxf>
          </x14:cfRule>
          <xm:sqref>H28</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3:H40"/>
  <sheetViews>
    <sheetView workbookViewId="0">
      <selection activeCell="E9" sqref="E9"/>
    </sheetView>
  </sheetViews>
  <sheetFormatPr defaultColWidth="8.85546875" defaultRowHeight="12.75" x14ac:dyDescent="0.2"/>
  <cols>
    <col min="1" max="1" width="12.140625" style="364" bestFit="1" customWidth="1"/>
    <col min="2" max="2" width="10.42578125" style="364" bestFit="1" customWidth="1"/>
    <col min="3" max="3" width="12.85546875" style="364" bestFit="1" customWidth="1"/>
    <col min="4" max="4" width="10.140625" style="364" bestFit="1" customWidth="1"/>
    <col min="5" max="5" width="11.85546875" style="364" bestFit="1" customWidth="1"/>
    <col min="6" max="6" width="13.85546875" style="364" bestFit="1" customWidth="1"/>
    <col min="7" max="7" width="16.5703125" style="364" bestFit="1" customWidth="1"/>
    <col min="8" max="8" width="12.5703125" style="364" bestFit="1" customWidth="1"/>
    <col min="9" max="16384" width="8.85546875" style="364"/>
  </cols>
  <sheetData>
    <row r="3" spans="1:8" x14ac:dyDescent="0.2">
      <c r="A3" s="1198" t="s">
        <v>444</v>
      </c>
      <c r="B3" s="1198" t="s">
        <v>356</v>
      </c>
      <c r="C3" s="1198" t="s">
        <v>445</v>
      </c>
      <c r="D3" s="1198" t="s">
        <v>447</v>
      </c>
      <c r="E3" s="1198" t="s">
        <v>446</v>
      </c>
      <c r="F3" s="1198" t="s">
        <v>448</v>
      </c>
      <c r="G3" s="1198" t="s">
        <v>449</v>
      </c>
      <c r="H3" s="1198" t="s">
        <v>450</v>
      </c>
    </row>
    <row r="4" spans="1:8" hidden="1" x14ac:dyDescent="0.2">
      <c r="A4" s="1199" t="s">
        <v>443</v>
      </c>
      <c r="B4" s="1198" t="s">
        <v>355</v>
      </c>
      <c r="C4" s="1285" t="str">
        <f>IFERROR(INDEX('PR Cash Reconciliation_2A,B,C,D'!$C$7:$C$55,MATCH(A4,'PR Cash Reconciliation_2A,B,C,D'!$A$7:$A$55,0)),"")</f>
        <v/>
      </c>
      <c r="D4" s="1285" t="str">
        <f>IFERROR(INDEX('PR Cash Reconciliation_2A,B,C,D'!$D$7:$D$55,MATCH(A4,'PR Cash Reconciliation_2A,B,C,D'!$A$7:$A$55,0)),"")</f>
        <v/>
      </c>
      <c r="E4" s="1199" t="str">
        <f>IFERROR(IF(INDEX('PR Cash Reconciliation_2A,B,C,D'!$E$7:$E$55,MATCH(A4,'PR Cash Reconciliation_2A,B,C,D'!$A$7:$A$55,0))=0,"",INDEX('PR Cash Reconciliation_2A,B,C,D'!$E$7:$E$55,MATCH(A4,'PR Cash Reconciliation_2A,B,C,D'!$A$7:$A$55,0))),"")</f>
        <v/>
      </c>
      <c r="F4" s="1285" t="str">
        <f>IFERROR(INDEX('PR Cash Reconciliation_2A,B,C,D'!$F$7:$F$55,MATCH(A4,'PR Cash Reconciliation_2A,B,C,D'!$A$7:$A$55,0)),"")</f>
        <v/>
      </c>
      <c r="G4" s="1285" t="str">
        <f>IFERROR(INDEX('PR Cash Reconciliation_2A,B,C,D'!$G$7:$G$55,MATCH(A4,'PR Cash Reconciliation_2A,B,C,D'!$A$7:$A$55,0)),"")</f>
        <v/>
      </c>
      <c r="H4" s="1199" t="str">
        <f>IFERROR(IF(INDEX('PR Cash Reconciliation_2A,B,C,D'!$I$7:$I$55,MATCH(A4,'PR Cash Reconciliation_2A,B,C,D'!$A$7:$A$55,0))=0,"",INDEX('PR Cash Reconciliation_2A,B,C,D'!$I$7:$I$55,MATCH(A4,'PR Cash Reconciliation_2A,B,C,D'!$A$7:$A$55,0))),"")</f>
        <v/>
      </c>
    </row>
    <row r="5" spans="1:8" x14ac:dyDescent="0.2">
      <c r="A5" s="1199" t="s">
        <v>451</v>
      </c>
      <c r="B5" s="1198" t="s">
        <v>1118</v>
      </c>
      <c r="C5" s="1285">
        <f>IFERROR(INDEX('PR Cash Reconciliation_2A,B,C,D'!$C$7:$C$55,MATCH(A5,'PR Cash Reconciliation_2A,B,C,D'!$A$7:$A$55,0)),"")</f>
        <v>0</v>
      </c>
      <c r="D5" s="1285">
        <f>IFERROR(INDEX('PR Cash Reconciliation_2A,B,C,D'!$D$7:$D$55,MATCH(A5,'PR Cash Reconciliation_2A,B,C,D'!$A$7:$A$55,0)),"")</f>
        <v>1679051.98</v>
      </c>
      <c r="E5" s="1199" t="str">
        <f>IFERROR(IF(INDEX('PR Cash Reconciliation_2A,B,C,D'!$E$7:$E$55,MATCH(A5,'PR Cash Reconciliation_2A,B,C,D'!$A$7:$A$55,0))=0,"",INDEX('PR Cash Reconciliation_2A,B,C,D'!$E$7:$E$55,MATCH(A5,'PR Cash Reconciliation_2A,B,C,D'!$A$7:$A$55,0))),"")</f>
        <v>PR cash balance as per bank statements (see "ROU_T_RAA_Core_PUDR_January 1 - December 31 2016_15 05 2017" document)</v>
      </c>
      <c r="F5" s="1285">
        <f>IFERROR(INDEX('PR Cash Reconciliation_2A,B,C,D'!$F$7:$F$55,MATCH(A5,'PR Cash Reconciliation_2A,B,C,D'!$A$7:$A$55,0)),"")</f>
        <v>0</v>
      </c>
      <c r="G5" s="1285">
        <f>IFERROR(INDEX('PR Cash Reconciliation_2A,B,C,D'!$G$7:$G$55,MATCH(A5,'PR Cash Reconciliation_2A,B,C,D'!$A$7:$A$55,0)),"")</f>
        <v>0</v>
      </c>
      <c r="H5" s="1199" t="str">
        <f>IFERROR(IF(INDEX('PR Cash Reconciliation_2A,B,C,D'!$I$7:$I$55,MATCH(A5,'PR Cash Reconciliation_2A,B,C,D'!$A$7:$A$55,0))=0,"",INDEX('PR Cash Reconciliation_2A,B,C,D'!$I$7:$I$55,MATCH(A5,'PR Cash Reconciliation_2A,B,C,D'!$A$7:$A$55,0))),"")</f>
        <v/>
      </c>
    </row>
    <row r="6" spans="1:8" x14ac:dyDescent="0.2">
      <c r="A6" s="1199" t="s">
        <v>452</v>
      </c>
      <c r="B6" s="1198" t="s">
        <v>1119</v>
      </c>
      <c r="C6" s="1285">
        <f>IFERROR(INDEX('PR Cash Reconciliation_2A,B,C,D'!$C$7:$C$55,MATCH(A6,'PR Cash Reconciliation_2A,B,C,D'!$A$7:$A$55,0)),"")</f>
        <v>5932863</v>
      </c>
      <c r="D6" s="1285">
        <f>IFERROR(INDEX('PR Cash Reconciliation_2A,B,C,D'!$D$7:$D$55,MATCH(A6,'PR Cash Reconciliation_2A,B,C,D'!$A$7:$A$55,0)),"")</f>
        <v>2205274.7999999998</v>
      </c>
      <c r="E6" s="1199" t="str">
        <f>IFERROR(IF(INDEX('PR Cash Reconciliation_2A,B,C,D'!$E$7:$E$55,MATCH(A6,'PR Cash Reconciliation_2A,B,C,D'!$A$7:$A$55,0))=0,"",INDEX('PR Cash Reconciliation_2A,B,C,D'!$E$7:$E$55,MATCH(A6,'PR Cash Reconciliation_2A,B,C,D'!$A$7:$A$55,0))),"")</f>
        <v xml:space="preserve"> Disbursement Number : ROU-T-RAA-D03.0.1/27.07.2017</v>
      </c>
      <c r="F6" s="1285">
        <f>IFERROR(INDEX('PR Cash Reconciliation_2A,B,C,D'!$F$7:$F$55,MATCH(A6,'PR Cash Reconciliation_2A,B,C,D'!$A$7:$A$55,0)),"")</f>
        <v>0</v>
      </c>
      <c r="G6" s="1285">
        <f>IFERROR(INDEX('PR Cash Reconciliation_2A,B,C,D'!$G$7:$G$55,MATCH(A6,'PR Cash Reconciliation_2A,B,C,D'!$A$7:$A$55,0)),"")</f>
        <v>0</v>
      </c>
      <c r="H6" s="1199" t="str">
        <f>IFERROR(IF(INDEX('PR Cash Reconciliation_2A,B,C,D'!$I$7:$I$55,MATCH(A6,'PR Cash Reconciliation_2A,B,C,D'!$A$7:$A$55,0))=0,"",INDEX('PR Cash Reconciliation_2A,B,C,D'!$I$7:$I$55,MATCH(A6,'PR Cash Reconciliation_2A,B,C,D'!$A$7:$A$55,0))),"")</f>
        <v/>
      </c>
    </row>
    <row r="7" spans="1:8" x14ac:dyDescent="0.2">
      <c r="A7" s="1199" t="s">
        <v>453</v>
      </c>
      <c r="B7" s="1198" t="s">
        <v>1120</v>
      </c>
      <c r="C7" s="1285">
        <f>IFERROR(INDEX('PR Cash Reconciliation_2A,B,C,D'!$C$7:$C$55,MATCH(A7,'PR Cash Reconciliation_2A,B,C,D'!$A$7:$A$55,0)),"")</f>
        <v>35923</v>
      </c>
      <c r="D7" s="1285">
        <f>IFERROR(INDEX('PR Cash Reconciliation_2A,B,C,D'!$D$7:$D$55,MATCH(A7,'PR Cash Reconciliation_2A,B,C,D'!$A$7:$A$55,0)),"")</f>
        <v>9815.14</v>
      </c>
      <c r="E7" s="1199" t="str">
        <f>IFERROR(IF(INDEX('PR Cash Reconciliation_2A,B,C,D'!$E$7:$E$55,MATCH(A7,'PR Cash Reconciliation_2A,B,C,D'!$A$7:$A$55,0))=0,"",INDEX('PR Cash Reconciliation_2A,B,C,D'!$E$7:$E$55,MATCH(A7,'PR Cash Reconciliation_2A,B,C,D'!$A$7:$A$55,0))),"")</f>
        <v>Disbursement Number : ROU-T-RAAP01-D03.0.2)/05.12.2017</v>
      </c>
      <c r="F7" s="1285">
        <f>IFERROR(INDEX('PR Cash Reconciliation_2A,B,C,D'!$F$7:$F$55,MATCH(A7,'PR Cash Reconciliation_2A,B,C,D'!$A$7:$A$55,0)),"")</f>
        <v>0</v>
      </c>
      <c r="G7" s="1285">
        <f>IFERROR(INDEX('PR Cash Reconciliation_2A,B,C,D'!$G$7:$G$55,MATCH(A7,'PR Cash Reconciliation_2A,B,C,D'!$A$7:$A$55,0)),"")</f>
        <v>0</v>
      </c>
      <c r="H7" s="1199" t="str">
        <f>IFERROR(IF(INDEX('PR Cash Reconciliation_2A,B,C,D'!$I$7:$I$55,MATCH(A7,'PR Cash Reconciliation_2A,B,C,D'!$A$7:$A$55,0))=0,"",INDEX('PR Cash Reconciliation_2A,B,C,D'!$I$7:$I$55,MATCH(A7,'PR Cash Reconciliation_2A,B,C,D'!$A$7:$A$55,0))),"")</f>
        <v/>
      </c>
    </row>
    <row r="8" spans="1:8" x14ac:dyDescent="0.2">
      <c r="A8" s="1199" t="s">
        <v>454</v>
      </c>
      <c r="B8" s="1198" t="s">
        <v>1121</v>
      </c>
      <c r="C8" s="1285">
        <f>IFERROR(INDEX('PR Cash Reconciliation_2A,B,C,D'!$C$7:$C$55,MATCH(A8,'PR Cash Reconciliation_2A,B,C,D'!$A$7:$A$55,0)),"")</f>
        <v>32.86</v>
      </c>
      <c r="D8" s="1285">
        <f>IFERROR(INDEX('PR Cash Reconciliation_2A,B,C,D'!$D$7:$D$55,MATCH(A8,'PR Cash Reconciliation_2A,B,C,D'!$A$7:$A$55,0)),"")</f>
        <v>0</v>
      </c>
      <c r="E8" s="1199" t="str">
        <f>IFERROR(IF(INDEX('PR Cash Reconciliation_2A,B,C,D'!$E$7:$E$55,MATCH(A8,'PR Cash Reconciliation_2A,B,C,D'!$A$7:$A$55,0))=0,"",INDEX('PR Cash Reconciliation_2A,B,C,D'!$E$7:$E$55,MATCH(A8,'PR Cash Reconciliation_2A,B,C,D'!$A$7:$A$55,0))),"")</f>
        <v>Since June 2015 due to change banking policies PR have not received any interest</v>
      </c>
      <c r="F8" s="1285">
        <f>IFERROR(INDEX('PR Cash Reconciliation_2A,B,C,D'!$F$7:$F$55,MATCH(A8,'PR Cash Reconciliation_2A,B,C,D'!$A$7:$A$55,0)),"")</f>
        <v>0</v>
      </c>
      <c r="G8" s="1285">
        <f>IFERROR(INDEX('PR Cash Reconciliation_2A,B,C,D'!$G$7:$G$55,MATCH(A8,'PR Cash Reconciliation_2A,B,C,D'!$A$7:$A$55,0)),"")</f>
        <v>0</v>
      </c>
      <c r="H8" s="1199" t="str">
        <f>IFERROR(IF(INDEX('PR Cash Reconciliation_2A,B,C,D'!$I$7:$I$55,MATCH(A8,'PR Cash Reconciliation_2A,B,C,D'!$A$7:$A$55,0))=0,"",INDEX('PR Cash Reconciliation_2A,B,C,D'!$I$7:$I$55,MATCH(A8,'PR Cash Reconciliation_2A,B,C,D'!$A$7:$A$55,0))),"")</f>
        <v/>
      </c>
    </row>
    <row r="9" spans="1:8" x14ac:dyDescent="0.2">
      <c r="A9" s="1199" t="s">
        <v>455</v>
      </c>
      <c r="B9" s="1198" t="s">
        <v>1122</v>
      </c>
      <c r="C9" s="1285">
        <f>IFERROR(INDEX('PR Cash Reconciliation_2A,B,C,D'!$C$7:$C$55,MATCH(A9,'PR Cash Reconciliation_2A,B,C,D'!$A$7:$A$55,0)),"")</f>
        <v>0</v>
      </c>
      <c r="D9" s="1285">
        <f>IFERROR(INDEX('PR Cash Reconciliation_2A,B,C,D'!$D$7:$D$55,MATCH(A9,'PR Cash Reconciliation_2A,B,C,D'!$A$7:$A$55,0)),"")</f>
        <v>0</v>
      </c>
      <c r="E9" s="1199" t="str">
        <f>IFERROR(IF(INDEX('PR Cash Reconciliation_2A,B,C,D'!$E$7:$E$55,MATCH(A9,'PR Cash Reconciliation_2A,B,C,D'!$A$7:$A$55,0))=0,"",INDEX('PR Cash Reconciliation_2A,B,C,D'!$E$7:$E$55,MATCH(A9,'PR Cash Reconciliation_2A,B,C,D'!$A$7:$A$55,0))),"")</f>
        <v/>
      </c>
      <c r="F9" s="1285">
        <f>IFERROR(INDEX('PR Cash Reconciliation_2A,B,C,D'!$F$7:$F$55,MATCH(A9,'PR Cash Reconciliation_2A,B,C,D'!$A$7:$A$55,0)),"")</f>
        <v>0</v>
      </c>
      <c r="G9" s="1285">
        <f>IFERROR(INDEX('PR Cash Reconciliation_2A,B,C,D'!$G$7:$G$55,MATCH(A9,'PR Cash Reconciliation_2A,B,C,D'!$A$7:$A$55,0)),"")</f>
        <v>0</v>
      </c>
      <c r="H9" s="1199" t="str">
        <f>IFERROR(IF(INDEX('PR Cash Reconciliation_2A,B,C,D'!$I$7:$I$55,MATCH(A9,'PR Cash Reconciliation_2A,B,C,D'!$A$7:$A$55,0))=0,"",INDEX('PR Cash Reconciliation_2A,B,C,D'!$I$7:$I$55,MATCH(A9,'PR Cash Reconciliation_2A,B,C,D'!$A$7:$A$55,0))),"")</f>
        <v/>
      </c>
    </row>
    <row r="10" spans="1:8" x14ac:dyDescent="0.2">
      <c r="A10" s="1199" t="s">
        <v>456</v>
      </c>
      <c r="B10" s="1198" t="s">
        <v>1123</v>
      </c>
      <c r="C10" s="1285">
        <f>IFERROR(INDEX('PR Cash Reconciliation_2A,B,C,D'!$C$7:$C$55,MATCH(A10,'PR Cash Reconciliation_2A,B,C,D'!$A$7:$A$55,0)),"")</f>
        <v>147155.42000000001</v>
      </c>
      <c r="D10" s="1285">
        <f>IFERROR(INDEX('PR Cash Reconciliation_2A,B,C,D'!$D$7:$D$55,MATCH(A10,'PR Cash Reconciliation_2A,B,C,D'!$A$7:$A$55,0)),"")</f>
        <v>90990.09</v>
      </c>
      <c r="E10" s="1199" t="str">
        <f>IFERROR(IF(INDEX('PR Cash Reconciliation_2A,B,C,D'!$E$7:$E$55,MATCH(A10,'PR Cash Reconciliation_2A,B,C,D'!$A$7:$A$55,0))=0,"",INDEX('PR Cash Reconciliation_2A,B,C,D'!$E$7:$E$55,MATCH(A10,'PR Cash Reconciliation_2A,B,C,D'!$A$7:$A$55,0))),"")</f>
        <v>VAT reimburest from budgetary source for Q7-Q10</v>
      </c>
      <c r="F10" s="1285">
        <f>IFERROR(INDEX('PR Cash Reconciliation_2A,B,C,D'!$F$7:$F$55,MATCH(A10,'PR Cash Reconciliation_2A,B,C,D'!$A$7:$A$55,0)),"")</f>
        <v>0</v>
      </c>
      <c r="G10" s="1285">
        <f>IFERROR(INDEX('PR Cash Reconciliation_2A,B,C,D'!$G$7:$G$55,MATCH(A10,'PR Cash Reconciliation_2A,B,C,D'!$A$7:$A$55,0)),"")</f>
        <v>0</v>
      </c>
      <c r="H10" s="1199" t="str">
        <f>IFERROR(IF(INDEX('PR Cash Reconciliation_2A,B,C,D'!$I$7:$I$55,MATCH(A10,'PR Cash Reconciliation_2A,B,C,D'!$A$7:$A$55,0))=0,"",INDEX('PR Cash Reconciliation_2A,B,C,D'!$I$7:$I$55,MATCH(A10,'PR Cash Reconciliation_2A,B,C,D'!$A$7:$A$55,0))),"")</f>
        <v/>
      </c>
    </row>
    <row r="11" spans="1:8" x14ac:dyDescent="0.2">
      <c r="A11" s="1199" t="s">
        <v>457</v>
      </c>
      <c r="B11" s="1198" t="s">
        <v>1124</v>
      </c>
      <c r="C11" s="1285">
        <f>IFERROR(INDEX('PR Cash Reconciliation_2A,B,C,D'!$C$7:$C$55,MATCH(A11,'PR Cash Reconciliation_2A,B,C,D'!$A$7:$A$55,0)),"")</f>
        <v>6115974.2800000003</v>
      </c>
      <c r="D11" s="1285">
        <f>IFERROR(INDEX('PR Cash Reconciliation_2A,B,C,D'!$D$7:$D$55,MATCH(A11,'PR Cash Reconciliation_2A,B,C,D'!$A$7:$A$55,0)),"")</f>
        <v>2306080.0299999998</v>
      </c>
      <c r="E11" s="1199" t="str">
        <f>IFERROR(IF(INDEX('PR Cash Reconciliation_2A,B,C,D'!$E$7:$E$55,MATCH(A11,'PR Cash Reconciliation_2A,B,C,D'!$A$7:$A$55,0))=0,"",INDEX('PR Cash Reconciliation_2A,B,C,D'!$E$7:$E$55,MATCH(A11,'PR Cash Reconciliation_2A,B,C,D'!$A$7:$A$55,0))),"")</f>
        <v/>
      </c>
      <c r="F11" s="1285">
        <f>IFERROR(INDEX('PR Cash Reconciliation_2A,B,C,D'!$F$7:$F$55,MATCH(A11,'PR Cash Reconciliation_2A,B,C,D'!$A$7:$A$55,0)),"")</f>
        <v>0</v>
      </c>
      <c r="G11" s="1285">
        <f>IFERROR(INDEX('PR Cash Reconciliation_2A,B,C,D'!$G$7:$G$55,MATCH(A11,'PR Cash Reconciliation_2A,B,C,D'!$A$7:$A$55,0)),"")</f>
        <v>0</v>
      </c>
      <c r="H11" s="1199" t="str">
        <f>IFERROR(IF(INDEX('PR Cash Reconciliation_2A,B,C,D'!$I$7:$I$55,MATCH(A11,'PR Cash Reconciliation_2A,B,C,D'!$A$7:$A$55,0))=0,"",INDEX('PR Cash Reconciliation_2A,B,C,D'!$I$7:$I$55,MATCH(A11,'PR Cash Reconciliation_2A,B,C,D'!$A$7:$A$55,0))),"")</f>
        <v/>
      </c>
    </row>
    <row r="12" spans="1:8" x14ac:dyDescent="0.2">
      <c r="A12" s="1199" t="s">
        <v>458</v>
      </c>
      <c r="B12" s="1198" t="s">
        <v>1125</v>
      </c>
      <c r="C12" s="1285">
        <f>IFERROR(INDEX('PR Cash Reconciliation_2A,B,C,D'!$C$7:$C$55,MATCH(A12,'PR Cash Reconciliation_2A,B,C,D'!$A$7:$A$55,0)),"")</f>
        <v>682771.46</v>
      </c>
      <c r="D12" s="1285">
        <f>IFERROR(INDEX('PR Cash Reconciliation_2A,B,C,D'!$D$7:$D$55,MATCH(A12,'PR Cash Reconciliation_2A,B,C,D'!$A$7:$A$55,0)),"")</f>
        <v>773109.29999999993</v>
      </c>
      <c r="E12" s="1199" t="str">
        <f>IFERROR(IF(INDEX('PR Cash Reconciliation_2A,B,C,D'!$E$7:$E$55,MATCH(A12,'PR Cash Reconciliation_2A,B,C,D'!$A$7:$A$55,0))=0,"",INDEX('PR Cash Reconciliation_2A,B,C,D'!$E$7:$E$55,MATCH(A12,'PR Cash Reconciliation_2A,B,C,D'!$A$7:$A$55,0))),"")</f>
        <v>Amounts taken from "ROU-T-RAA_PR Sources and uses of funds statement"</v>
      </c>
      <c r="F12" s="1285">
        <f>IFERROR(INDEX('PR Cash Reconciliation_2A,B,C,D'!$F$7:$F$55,MATCH(A12,'PR Cash Reconciliation_2A,B,C,D'!$A$7:$A$55,0)),"")</f>
        <v>0</v>
      </c>
      <c r="G12" s="1285">
        <f>IFERROR(INDEX('PR Cash Reconciliation_2A,B,C,D'!$G$7:$G$55,MATCH(A12,'PR Cash Reconciliation_2A,B,C,D'!$A$7:$A$55,0)),"")</f>
        <v>0</v>
      </c>
      <c r="H12" s="1199" t="str">
        <f>IFERROR(IF(INDEX('PR Cash Reconciliation_2A,B,C,D'!$I$7:$I$55,MATCH(A12,'PR Cash Reconciliation_2A,B,C,D'!$A$7:$A$55,0))=0,"",INDEX('PR Cash Reconciliation_2A,B,C,D'!$I$7:$I$55,MATCH(A12,'PR Cash Reconciliation_2A,B,C,D'!$A$7:$A$55,0))),"")</f>
        <v/>
      </c>
    </row>
    <row r="13" spans="1:8" x14ac:dyDescent="0.2">
      <c r="A13" s="1199" t="s">
        <v>459</v>
      </c>
      <c r="B13" s="1198" t="s">
        <v>1126</v>
      </c>
      <c r="C13" s="1285">
        <f>IFERROR(INDEX('PR Cash Reconciliation_2A,B,C,D'!$C$7:$C$55,MATCH(A13,'PR Cash Reconciliation_2A,B,C,D'!$A$7:$A$55,0)),"")</f>
        <v>35923</v>
      </c>
      <c r="D13" s="1285">
        <f>IFERROR(INDEX('PR Cash Reconciliation_2A,B,C,D'!$D$7:$D$55,MATCH(A13,'PR Cash Reconciliation_2A,B,C,D'!$A$7:$A$55,0)),"")</f>
        <v>9815.14</v>
      </c>
      <c r="E13" s="1199" t="str">
        <f>IFERROR(IF(INDEX('PR Cash Reconciliation_2A,B,C,D'!$E$7:$E$55,MATCH(A13,'PR Cash Reconciliation_2A,B,C,D'!$A$7:$A$55,0))=0,"",INDEX('PR Cash Reconciliation_2A,B,C,D'!$E$7:$E$55,MATCH(A13,'PR Cash Reconciliation_2A,B,C,D'!$A$7:$A$55,0))),"")</f>
        <v>Disbursement Number : ROU-T-RAAP01-D03.0.2)/05.12.2017</v>
      </c>
      <c r="F13" s="1285">
        <f>IFERROR(INDEX('PR Cash Reconciliation_2A,B,C,D'!$F$7:$F$55,MATCH(A13,'PR Cash Reconciliation_2A,B,C,D'!$A$7:$A$55,0)),"")</f>
        <v>0</v>
      </c>
      <c r="G13" s="1285">
        <f>IFERROR(INDEX('PR Cash Reconciliation_2A,B,C,D'!$G$7:$G$55,MATCH(A13,'PR Cash Reconciliation_2A,B,C,D'!$A$7:$A$55,0)),"")</f>
        <v>0</v>
      </c>
      <c r="H13" s="1199" t="str">
        <f>IFERROR(IF(INDEX('PR Cash Reconciliation_2A,B,C,D'!$I$7:$I$55,MATCH(A13,'PR Cash Reconciliation_2A,B,C,D'!$A$7:$A$55,0))=0,"",INDEX('PR Cash Reconciliation_2A,B,C,D'!$I$7:$I$55,MATCH(A13,'PR Cash Reconciliation_2A,B,C,D'!$A$7:$A$55,0))),"")</f>
        <v/>
      </c>
    </row>
    <row r="14" spans="1:8" x14ac:dyDescent="0.2">
      <c r="A14" s="1199" t="s">
        <v>460</v>
      </c>
      <c r="B14" s="1198" t="s">
        <v>1127</v>
      </c>
      <c r="C14" s="1285">
        <f>IFERROR(INDEX('PR Cash Reconciliation_2A,B,C,D'!$C$7:$C$55,MATCH(A14,'PR Cash Reconciliation_2A,B,C,D'!$A$7:$A$55,0)),"")</f>
        <v>3792774.09</v>
      </c>
      <c r="D14" s="1285">
        <f>IFERROR(INDEX('PR Cash Reconciliation_2A,B,C,D'!$D$7:$D$55,MATCH(A14,'PR Cash Reconciliation_2A,B,C,D'!$A$7:$A$55,0)),"")</f>
        <v>1989936.82</v>
      </c>
      <c r="E14" s="1199" t="str">
        <f>IFERROR(IF(INDEX('PR Cash Reconciliation_2A,B,C,D'!$E$7:$E$55,MATCH(A14,'PR Cash Reconciliation_2A,B,C,D'!$A$7:$A$55,0))=0,"",INDEX('PR Cash Reconciliation_2A,B,C,D'!$E$7:$E$55,MATCH(A14,'PR Cash Reconciliation_2A,B,C,D'!$A$7:$A$55,0))),"")</f>
        <v>Amounts taken from "ROU-T-RAA_PR Sources and uses of funds statement"</v>
      </c>
      <c r="F14" s="1285">
        <f>IFERROR(INDEX('PR Cash Reconciliation_2A,B,C,D'!$F$7:$F$55,MATCH(A14,'PR Cash Reconciliation_2A,B,C,D'!$A$7:$A$55,0)),"")</f>
        <v>0</v>
      </c>
      <c r="G14" s="1285">
        <f>IFERROR(INDEX('PR Cash Reconciliation_2A,B,C,D'!$G$7:$G$55,MATCH(A14,'PR Cash Reconciliation_2A,B,C,D'!$A$7:$A$55,0)),"")</f>
        <v>0</v>
      </c>
      <c r="H14" s="1199" t="str">
        <f>IFERROR(IF(INDEX('PR Cash Reconciliation_2A,B,C,D'!$I$7:$I$55,MATCH(A14,'PR Cash Reconciliation_2A,B,C,D'!$A$7:$A$55,0))=0,"",INDEX('PR Cash Reconciliation_2A,B,C,D'!$I$7:$I$55,MATCH(A14,'PR Cash Reconciliation_2A,B,C,D'!$A$7:$A$55,0))),"")</f>
        <v/>
      </c>
    </row>
    <row r="15" spans="1:8" x14ac:dyDescent="0.2">
      <c r="A15" s="1199" t="s">
        <v>461</v>
      </c>
      <c r="B15" s="1198" t="s">
        <v>1128</v>
      </c>
      <c r="C15" s="1285">
        <f>IFERROR(INDEX('PR Cash Reconciliation_2A,B,C,D'!$C$7:$C$55,MATCH(A15,'PR Cash Reconciliation_2A,B,C,D'!$A$7:$A$55,0)),"")</f>
        <v>1883.07</v>
      </c>
      <c r="D15" s="1285">
        <f>IFERROR(INDEX('PR Cash Reconciliation_2A,B,C,D'!$D$7:$D$55,MATCH(A15,'PR Cash Reconciliation_2A,B,C,D'!$A$7:$A$55,0)),"")</f>
        <v>860.24</v>
      </c>
      <c r="E15" s="1199" t="str">
        <f>IFERROR(IF(INDEX('PR Cash Reconciliation_2A,B,C,D'!$E$7:$E$55,MATCH(A15,'PR Cash Reconciliation_2A,B,C,D'!$A$7:$A$55,0))=0,"",INDEX('PR Cash Reconciliation_2A,B,C,D'!$E$7:$E$55,MATCH(A15,'PR Cash Reconciliation_2A,B,C,D'!$A$7:$A$55,0))),"")</f>
        <v>Amounts taken from "ROU-T-RAA_PR Sources and uses of funds statement"</v>
      </c>
      <c r="F15" s="1285">
        <f>IFERROR(INDEX('PR Cash Reconciliation_2A,B,C,D'!$F$7:$F$55,MATCH(A15,'PR Cash Reconciliation_2A,B,C,D'!$A$7:$A$55,0)),"")</f>
        <v>0</v>
      </c>
      <c r="G15" s="1285">
        <f>IFERROR(INDEX('PR Cash Reconciliation_2A,B,C,D'!$G$7:$G$55,MATCH(A15,'PR Cash Reconciliation_2A,B,C,D'!$A$7:$A$55,0)),"")</f>
        <v>0</v>
      </c>
      <c r="H15" s="1199" t="str">
        <f>IFERROR(IF(INDEX('PR Cash Reconciliation_2A,B,C,D'!$I$7:$I$55,MATCH(A15,'PR Cash Reconciliation_2A,B,C,D'!$A$7:$A$55,0))=0,"",INDEX('PR Cash Reconciliation_2A,B,C,D'!$I$7:$I$55,MATCH(A15,'PR Cash Reconciliation_2A,B,C,D'!$A$7:$A$55,0))),"")</f>
        <v/>
      </c>
    </row>
    <row r="16" spans="1:8" x14ac:dyDescent="0.2">
      <c r="A16" s="1199" t="s">
        <v>462</v>
      </c>
      <c r="B16" s="1198" t="s">
        <v>1129</v>
      </c>
      <c r="C16" s="1285">
        <f>IFERROR(INDEX('PR Cash Reconciliation_2A,B,C,D'!$C$7:$C$55,MATCH(A16,'PR Cash Reconciliation_2A,B,C,D'!$A$7:$A$55,0)),"")</f>
        <v>4513351.62</v>
      </c>
      <c r="D16" s="1285">
        <f>IFERROR(INDEX('PR Cash Reconciliation_2A,B,C,D'!$D$7:$D$55,MATCH(A16,'PR Cash Reconciliation_2A,B,C,D'!$A$7:$A$55,0)),"")</f>
        <v>2773721.5</v>
      </c>
      <c r="E16" s="1199" t="str">
        <f>IFERROR(IF(INDEX('PR Cash Reconciliation_2A,B,C,D'!$E$7:$E$55,MATCH(A16,'PR Cash Reconciliation_2A,B,C,D'!$A$7:$A$55,0))=0,"",INDEX('PR Cash Reconciliation_2A,B,C,D'!$E$7:$E$55,MATCH(A16,'PR Cash Reconciliation_2A,B,C,D'!$A$7:$A$55,0))),"")</f>
        <v/>
      </c>
      <c r="F16" s="1285">
        <f>IFERROR(INDEX('PR Cash Reconciliation_2A,B,C,D'!$F$7:$F$55,MATCH(A16,'PR Cash Reconciliation_2A,B,C,D'!$A$7:$A$55,0)),"")</f>
        <v>0</v>
      </c>
      <c r="G16" s="1285">
        <f>IFERROR(INDEX('PR Cash Reconciliation_2A,B,C,D'!$G$7:$G$55,MATCH(A16,'PR Cash Reconciliation_2A,B,C,D'!$A$7:$A$55,0)),"")</f>
        <v>0</v>
      </c>
      <c r="H16" s="1199" t="str">
        <f>IFERROR(IF(INDEX('PR Cash Reconciliation_2A,B,C,D'!$I$7:$I$55,MATCH(A16,'PR Cash Reconciliation_2A,B,C,D'!$A$7:$A$55,0))=0,"",INDEX('PR Cash Reconciliation_2A,B,C,D'!$I$7:$I$55,MATCH(A16,'PR Cash Reconciliation_2A,B,C,D'!$A$7:$A$55,0))),"")</f>
        <v/>
      </c>
    </row>
    <row r="17" spans="1:8" x14ac:dyDescent="0.2">
      <c r="A17" s="1199" t="s">
        <v>463</v>
      </c>
      <c r="B17" s="1198" t="s">
        <v>1130</v>
      </c>
      <c r="C17" s="1285">
        <f>IFERROR(INDEX('PR Cash Reconciliation_2A,B,C,D'!$C$7:$C$55,MATCH(A17,'PR Cash Reconciliation_2A,B,C,D'!$A$7:$A$55,0)),"")</f>
        <v>-7982.8</v>
      </c>
      <c r="D17" s="1285">
        <f>IFERROR(INDEX('PR Cash Reconciliation_2A,B,C,D'!$D$7:$D$55,MATCH(A17,'PR Cash Reconciliation_2A,B,C,D'!$A$7:$A$55,0)),"")</f>
        <v>-4524.76</v>
      </c>
      <c r="E17" s="1199" t="str">
        <f>IFERROR(IF(INDEX('PR Cash Reconciliation_2A,B,C,D'!$E$7:$E$55,MATCH(A17,'PR Cash Reconciliation_2A,B,C,D'!$A$7:$A$55,0))=0,"",INDEX('PR Cash Reconciliation_2A,B,C,D'!$E$7:$E$55,MATCH(A17,'PR Cash Reconciliation_2A,B,C,D'!$A$7:$A$55,0))),"")</f>
        <v>Q8-Q11 VAT recovered for PR 's expenditure</v>
      </c>
      <c r="F17" s="1285">
        <f>IFERROR(INDEX('PR Cash Reconciliation_2A,B,C,D'!$F$7:$F$55,MATCH(A17,'PR Cash Reconciliation_2A,B,C,D'!$A$7:$A$55,0)),"")</f>
        <v>0</v>
      </c>
      <c r="G17" s="1285">
        <f>IFERROR(INDEX('PR Cash Reconciliation_2A,B,C,D'!$G$7:$G$55,MATCH(A17,'PR Cash Reconciliation_2A,B,C,D'!$A$7:$A$55,0)),"")</f>
        <v>0</v>
      </c>
      <c r="H17" s="1199" t="str">
        <f>IFERROR(IF(INDEX('PR Cash Reconciliation_2A,B,C,D'!$I$7:$I$55,MATCH(A17,'PR Cash Reconciliation_2A,B,C,D'!$A$7:$A$55,0))=0,"",INDEX('PR Cash Reconciliation_2A,B,C,D'!$I$7:$I$55,MATCH(A17,'PR Cash Reconciliation_2A,B,C,D'!$A$7:$A$55,0))),"")</f>
        <v/>
      </c>
    </row>
    <row r="18" spans="1:8" x14ac:dyDescent="0.2">
      <c r="A18" s="1199" t="s">
        <v>464</v>
      </c>
      <c r="B18" s="1198" t="s">
        <v>1131</v>
      </c>
      <c r="C18" s="1285">
        <f>IFERROR(INDEX('PR Cash Reconciliation_2A,B,C,D'!$C$7:$C$55,MATCH(A18,'PR Cash Reconciliation_2A,B,C,D'!$A$7:$A$55,0)),"")</f>
        <v>-1822.68</v>
      </c>
      <c r="D18" s="1285">
        <f>IFERROR(INDEX('PR Cash Reconciliation_2A,B,C,D'!$D$7:$D$55,MATCH(A18,'PR Cash Reconciliation_2A,B,C,D'!$A$7:$A$55,0)),"")</f>
        <v>-1486.37</v>
      </c>
      <c r="E18" s="1199" t="str">
        <f>IFERROR(IF(INDEX('PR Cash Reconciliation_2A,B,C,D'!$E$7:$E$55,MATCH(A18,'PR Cash Reconciliation_2A,B,C,D'!$A$7:$A$55,0))=0,"",INDEX('PR Cash Reconciliation_2A,B,C,D'!$E$7:$E$55,MATCH(A18,'PR Cash Reconciliation_2A,B,C,D'!$A$7:$A$55,0))),"")</f>
        <v>Amounts calculated into "ROU-T-RAA_PR Sources and uses of funds statement"</v>
      </c>
      <c r="F18" s="1285">
        <f>IFERROR(INDEX('PR Cash Reconciliation_2A,B,C,D'!$F$7:$F$55,MATCH(A18,'PR Cash Reconciliation_2A,B,C,D'!$A$7:$A$55,0)),"")</f>
        <v>0</v>
      </c>
      <c r="G18" s="1285">
        <f>IFERROR(INDEX('PR Cash Reconciliation_2A,B,C,D'!$G$7:$G$55,MATCH(A18,'PR Cash Reconciliation_2A,B,C,D'!$A$7:$A$55,0)),"")</f>
        <v>0</v>
      </c>
      <c r="H18" s="1199" t="str">
        <f>IFERROR(IF(INDEX('PR Cash Reconciliation_2A,B,C,D'!$I$7:$I$55,MATCH(A18,'PR Cash Reconciliation_2A,B,C,D'!$A$7:$A$55,0))=0,"",INDEX('PR Cash Reconciliation_2A,B,C,D'!$I$7:$I$55,MATCH(A18,'PR Cash Reconciliation_2A,B,C,D'!$A$7:$A$55,0))),"")</f>
        <v/>
      </c>
    </row>
    <row r="19" spans="1:8" x14ac:dyDescent="0.2">
      <c r="A19" s="1199" t="s">
        <v>465</v>
      </c>
      <c r="B19" s="1198" t="s">
        <v>1132</v>
      </c>
      <c r="C19" s="1285">
        <f>IFERROR(INDEX('PR Cash Reconciliation_2A,B,C,D'!$C$7:$C$55,MATCH(A19,'PR Cash Reconciliation_2A,B,C,D'!$A$7:$A$55,0)),"")</f>
        <v>0</v>
      </c>
      <c r="D19" s="1285">
        <f>IFERROR(INDEX('PR Cash Reconciliation_2A,B,C,D'!$D$7:$D$55,MATCH(A19,'PR Cash Reconciliation_2A,B,C,D'!$A$7:$A$55,0)),"")</f>
        <v>0</v>
      </c>
      <c r="E19" s="1199" t="str">
        <f>IFERROR(IF(INDEX('PR Cash Reconciliation_2A,B,C,D'!$E$7:$E$55,MATCH(A19,'PR Cash Reconciliation_2A,B,C,D'!$A$7:$A$55,0))=0,"",INDEX('PR Cash Reconciliation_2A,B,C,D'!$E$7:$E$55,MATCH(A19,'PR Cash Reconciliation_2A,B,C,D'!$A$7:$A$55,0))),"")</f>
        <v/>
      </c>
      <c r="F19" s="1285">
        <f>IFERROR(INDEX('PR Cash Reconciliation_2A,B,C,D'!$F$7:$F$55,MATCH(A19,'PR Cash Reconciliation_2A,B,C,D'!$A$7:$A$55,0)),"")</f>
        <v>0</v>
      </c>
      <c r="G19" s="1285">
        <f>IFERROR(INDEX('PR Cash Reconciliation_2A,B,C,D'!$G$7:$G$55,MATCH(A19,'PR Cash Reconciliation_2A,B,C,D'!$A$7:$A$55,0)),"")</f>
        <v>0</v>
      </c>
      <c r="H19" s="1199" t="str">
        <f>IFERROR(IF(INDEX('PR Cash Reconciliation_2A,B,C,D'!$I$7:$I$55,MATCH(A19,'PR Cash Reconciliation_2A,B,C,D'!$A$7:$A$55,0))=0,"",INDEX('PR Cash Reconciliation_2A,B,C,D'!$I$7:$I$55,MATCH(A19,'PR Cash Reconciliation_2A,B,C,D'!$A$7:$A$55,0))),"")</f>
        <v/>
      </c>
    </row>
    <row r="20" spans="1:8" x14ac:dyDescent="0.2">
      <c r="A20" s="1199" t="s">
        <v>466</v>
      </c>
      <c r="B20" s="1198" t="s">
        <v>1133</v>
      </c>
      <c r="C20" s="1285">
        <f>IFERROR(INDEX('PR Cash Reconciliation_2A,B,C,D'!$C$7:$C$55,MATCH(A20,'PR Cash Reconciliation_2A,B,C,D'!$A$7:$A$55,0)),"")</f>
        <v>0</v>
      </c>
      <c r="D20" s="1285">
        <f>IFERROR(INDEX('PR Cash Reconciliation_2A,B,C,D'!$D$7:$D$55,MATCH(A20,'PR Cash Reconciliation_2A,B,C,D'!$A$7:$A$55,0)),"")</f>
        <v>0</v>
      </c>
      <c r="E20" s="1199" t="str">
        <f>IFERROR(IF(INDEX('PR Cash Reconciliation_2A,B,C,D'!$E$7:$E$55,MATCH(A20,'PR Cash Reconciliation_2A,B,C,D'!$A$7:$A$55,0))=0,"",INDEX('PR Cash Reconciliation_2A,B,C,D'!$E$7:$E$55,MATCH(A20,'PR Cash Reconciliation_2A,B,C,D'!$A$7:$A$55,0))),"")</f>
        <v/>
      </c>
      <c r="F20" s="1285">
        <f>IFERROR(INDEX('PR Cash Reconciliation_2A,B,C,D'!$F$7:$F$55,MATCH(A20,'PR Cash Reconciliation_2A,B,C,D'!$A$7:$A$55,0)),"")</f>
        <v>0</v>
      </c>
      <c r="G20" s="1285">
        <f>IFERROR(INDEX('PR Cash Reconciliation_2A,B,C,D'!$G$7:$G$55,MATCH(A20,'PR Cash Reconciliation_2A,B,C,D'!$A$7:$A$55,0)),"")</f>
        <v>0</v>
      </c>
      <c r="H20" s="1199" t="str">
        <f>IFERROR(IF(INDEX('PR Cash Reconciliation_2A,B,C,D'!$I$7:$I$55,MATCH(A20,'PR Cash Reconciliation_2A,B,C,D'!$A$7:$A$55,0))=0,"",INDEX('PR Cash Reconciliation_2A,B,C,D'!$I$7:$I$55,MATCH(A20,'PR Cash Reconciliation_2A,B,C,D'!$A$7:$A$55,0))),"")</f>
        <v/>
      </c>
    </row>
    <row r="21" spans="1:8" x14ac:dyDescent="0.2">
      <c r="A21" s="1199" t="s">
        <v>594</v>
      </c>
      <c r="B21" s="1198" t="s">
        <v>1134</v>
      </c>
      <c r="C21" s="1285">
        <f>IFERROR(INDEX('PR Cash Reconciliation_2A,B,C,D'!$C$7:$C$55,MATCH(A21,'PR Cash Reconciliation_2A,B,C,D'!$A$7:$A$55,0)),"")</f>
        <v>0</v>
      </c>
      <c r="D21" s="1285">
        <f>IFERROR(INDEX('PR Cash Reconciliation_2A,B,C,D'!$D$7:$D$55,MATCH(A21,'PR Cash Reconciliation_2A,B,C,D'!$A$7:$A$55,0)),"")</f>
        <v>0</v>
      </c>
      <c r="E21" s="1199" t="str">
        <f>IFERROR(IF(INDEX('PR Cash Reconciliation_2A,B,C,D'!$E$7:$E$55,MATCH(A21,'PR Cash Reconciliation_2A,B,C,D'!$A$7:$A$55,0))=0,"",INDEX('PR Cash Reconciliation_2A,B,C,D'!$E$7:$E$55,MATCH(A21,'PR Cash Reconciliation_2A,B,C,D'!$A$7:$A$55,0))),"")</f>
        <v/>
      </c>
      <c r="F21" s="1285">
        <f>IFERROR(INDEX('PR Cash Reconciliation_2A,B,C,D'!$F$7:$F$55,MATCH(A21,'PR Cash Reconciliation_2A,B,C,D'!$A$7:$A$55,0)),"")</f>
        <v>0</v>
      </c>
      <c r="G21" s="1285">
        <f>IFERROR(INDEX('PR Cash Reconciliation_2A,B,C,D'!$G$7:$G$55,MATCH(A21,'PR Cash Reconciliation_2A,B,C,D'!$A$7:$A$55,0)),"")</f>
        <v>0</v>
      </c>
      <c r="H21" s="1199" t="str">
        <f>IFERROR(IF(INDEX('PR Cash Reconciliation_2A,B,C,D'!$I$7:$I$55,MATCH(A21,'PR Cash Reconciliation_2A,B,C,D'!$A$7:$A$55,0))=0,"",INDEX('PR Cash Reconciliation_2A,B,C,D'!$I$7:$I$55,MATCH(A21,'PR Cash Reconciliation_2A,B,C,D'!$A$7:$A$55,0))),"")</f>
        <v/>
      </c>
    </row>
    <row r="22" spans="1:8" x14ac:dyDescent="0.2">
      <c r="A22" s="1199" t="s">
        <v>467</v>
      </c>
      <c r="B22" s="1198" t="s">
        <v>1135</v>
      </c>
      <c r="C22" s="1285">
        <f>IFERROR(INDEX('PR Cash Reconciliation_2A,B,C,D'!$C$7:$C$55,MATCH(A22,'PR Cash Reconciliation_2A,B,C,D'!$A$7:$A$55,0)),"")</f>
        <v>0</v>
      </c>
      <c r="D22" s="1285">
        <f>IFERROR(INDEX('PR Cash Reconciliation_2A,B,C,D'!$D$7:$D$55,MATCH(A22,'PR Cash Reconciliation_2A,B,C,D'!$A$7:$A$55,0)),"")</f>
        <v>1205399.3799999997</v>
      </c>
      <c r="E22" s="1199" t="str">
        <f>IFERROR(IF(INDEX('PR Cash Reconciliation_2A,B,C,D'!$E$7:$E$55,MATCH(A22,'PR Cash Reconciliation_2A,B,C,D'!$A$7:$A$55,0))=0,"",INDEX('PR Cash Reconciliation_2A,B,C,D'!$E$7:$E$55,MATCH(A22,'PR Cash Reconciliation_2A,B,C,D'!$A$7:$A$55,0))),"")</f>
        <v>Amounts taken from "ROU-T-RAA_PR Sources and uses of funds statement"</v>
      </c>
      <c r="F22" s="1285">
        <f>IFERROR(INDEX('PR Cash Reconciliation_2A,B,C,D'!$F$7:$F$55,MATCH(A22,'PR Cash Reconciliation_2A,B,C,D'!$A$7:$A$55,0)),"")</f>
        <v>0</v>
      </c>
      <c r="G22" s="1285">
        <f>IFERROR(INDEX('PR Cash Reconciliation_2A,B,C,D'!$G$7:$G$55,MATCH(A22,'PR Cash Reconciliation_2A,B,C,D'!$A$7:$A$55,0)),"")</f>
        <v>0</v>
      </c>
      <c r="H22" s="1199" t="str">
        <f>IFERROR(IF(INDEX('PR Cash Reconciliation_2A,B,C,D'!$I$7:$I$55,MATCH(A22,'PR Cash Reconciliation_2A,B,C,D'!$A$7:$A$55,0))=0,"",INDEX('PR Cash Reconciliation_2A,B,C,D'!$I$7:$I$55,MATCH(A22,'PR Cash Reconciliation_2A,B,C,D'!$A$7:$A$55,0))),"")</f>
        <v/>
      </c>
    </row>
    <row r="23" spans="1:8" x14ac:dyDescent="0.2">
      <c r="A23" s="1199" t="s">
        <v>468</v>
      </c>
      <c r="B23" s="1198" t="s">
        <v>1136</v>
      </c>
      <c r="C23" s="1285">
        <f>IFERROR(INDEX('PR Cash Reconciliation_2A,B,C,D'!$C$7:$C$55,MATCH(A23,'PR Cash Reconciliation_2A,B,C,D'!$A$7:$A$55,0)),"")</f>
        <v>0</v>
      </c>
      <c r="D23" s="1285">
        <f>IFERROR(INDEX('PR Cash Reconciliation_2A,B,C,D'!$D$7:$D$55,MATCH(A23,'PR Cash Reconciliation_2A,B,C,D'!$A$7:$A$55,0)),"")</f>
        <v>133974.08000000005</v>
      </c>
      <c r="E23" s="1199" t="str">
        <f>IFERROR(IF(INDEX('PR Cash Reconciliation_2A,B,C,D'!$E$7:$E$55,MATCH(A23,'PR Cash Reconciliation_2A,B,C,D'!$A$7:$A$55,0))=0,"",INDEX('PR Cash Reconciliation_2A,B,C,D'!$E$7:$E$55,MATCH(A23,'PR Cash Reconciliation_2A,B,C,D'!$A$7:$A$55,0))),"")</f>
        <v>Amounts taken from "ROU-T-RAA_PR Sources and uses of funds statement"</v>
      </c>
      <c r="F23" s="1285">
        <f>IFERROR(INDEX('PR Cash Reconciliation_2A,B,C,D'!$F$7:$F$55,MATCH(A23,'PR Cash Reconciliation_2A,B,C,D'!$A$7:$A$55,0)),"")</f>
        <v>0</v>
      </c>
      <c r="G23" s="1285">
        <f>IFERROR(INDEX('PR Cash Reconciliation_2A,B,C,D'!$G$7:$G$55,MATCH(A23,'PR Cash Reconciliation_2A,B,C,D'!$A$7:$A$55,0)),"")</f>
        <v>0</v>
      </c>
      <c r="H23" s="1199" t="str">
        <f>IFERROR(IF(INDEX('PR Cash Reconciliation_2A,B,C,D'!$I$7:$I$55,MATCH(A23,'PR Cash Reconciliation_2A,B,C,D'!$A$7:$A$55,0))=0,"",INDEX('PR Cash Reconciliation_2A,B,C,D'!$I$7:$I$55,MATCH(A23,'PR Cash Reconciliation_2A,B,C,D'!$A$7:$A$55,0))),"")</f>
        <v/>
      </c>
    </row>
    <row r="24" spans="1:8" x14ac:dyDescent="0.2">
      <c r="A24" s="1199" t="s">
        <v>469</v>
      </c>
      <c r="B24" s="1198" t="s">
        <v>1137</v>
      </c>
      <c r="C24" s="1285">
        <f>IFERROR(INDEX('PR Cash Reconciliation_2A,B,C,D'!$C$7:$C$55,MATCH(A24,'PR Cash Reconciliation_2A,B,C,D'!$A$7:$A$55,0)),"")</f>
        <v>0</v>
      </c>
      <c r="D24" s="1285">
        <f>IFERROR(INDEX('PR Cash Reconciliation_2A,B,C,D'!$D$7:$D$55,MATCH(A24,'PR Cash Reconciliation_2A,B,C,D'!$A$7:$A$55,0)),"")</f>
        <v>1339373.4599999997</v>
      </c>
      <c r="E24" s="1199" t="str">
        <f>IFERROR(IF(INDEX('PR Cash Reconciliation_2A,B,C,D'!$E$7:$E$55,MATCH(A24,'PR Cash Reconciliation_2A,B,C,D'!$A$7:$A$55,0))=0,"",INDEX('PR Cash Reconciliation_2A,B,C,D'!$E$7:$E$55,MATCH(A24,'PR Cash Reconciliation_2A,B,C,D'!$A$7:$A$55,0))),"")</f>
        <v/>
      </c>
      <c r="F24" s="1285">
        <f>IFERROR(INDEX('PR Cash Reconciliation_2A,B,C,D'!$F$7:$F$55,MATCH(A24,'PR Cash Reconciliation_2A,B,C,D'!$A$7:$A$55,0)),"")</f>
        <v>0</v>
      </c>
      <c r="G24" s="1285">
        <f>IFERROR(INDEX('PR Cash Reconciliation_2A,B,C,D'!$G$7:$G$55,MATCH(A24,'PR Cash Reconciliation_2A,B,C,D'!$A$7:$A$55,0)),"")</f>
        <v>0</v>
      </c>
      <c r="H24" s="1199" t="str">
        <f>IFERROR(IF(INDEX('PR Cash Reconciliation_2A,B,C,D'!$I$7:$I$55,MATCH(A24,'PR Cash Reconciliation_2A,B,C,D'!$A$7:$A$55,0))=0,"",INDEX('PR Cash Reconciliation_2A,B,C,D'!$I$7:$I$55,MATCH(A24,'PR Cash Reconciliation_2A,B,C,D'!$A$7:$A$55,0))),"")</f>
        <v/>
      </c>
    </row>
    <row r="25" spans="1:8" x14ac:dyDescent="0.2">
      <c r="A25" s="1199" t="s">
        <v>470</v>
      </c>
      <c r="B25" s="1198" t="s">
        <v>1138</v>
      </c>
      <c r="C25" s="1285">
        <f>IFERROR(INDEX('PR Cash Reconciliation_2A,B,C,D'!$C$7:$C$55,MATCH(A25,'PR Cash Reconciliation_2A,B,C,D'!$A$7:$A$55,0)),"")</f>
        <v>0</v>
      </c>
      <c r="D25" s="1285">
        <f>IFERROR(INDEX('PR Cash Reconciliation_2A,B,C,D'!$D$7:$D$55,MATCH(A25,'PR Cash Reconciliation_2A,B,C,D'!$A$7:$A$55,0)),"")</f>
        <v>0</v>
      </c>
      <c r="E25" s="1199" t="str">
        <f>IFERROR(IF(INDEX('PR Cash Reconciliation_2A,B,C,D'!$E$7:$E$55,MATCH(A25,'PR Cash Reconciliation_2A,B,C,D'!$A$7:$A$55,0))=0,"",INDEX('PR Cash Reconciliation_2A,B,C,D'!$E$7:$E$55,MATCH(A25,'PR Cash Reconciliation_2A,B,C,D'!$A$7:$A$55,0))),"")</f>
        <v/>
      </c>
      <c r="F25" s="1285">
        <f>IFERROR(INDEX('PR Cash Reconciliation_2A,B,C,D'!$F$7:$F$55,MATCH(A25,'PR Cash Reconciliation_2A,B,C,D'!$A$7:$A$55,0)),"")</f>
        <v>0</v>
      </c>
      <c r="G25" s="1285">
        <f>IFERROR(INDEX('PR Cash Reconciliation_2A,B,C,D'!$G$7:$G$55,MATCH(A25,'PR Cash Reconciliation_2A,B,C,D'!$A$7:$A$55,0)),"")</f>
        <v>0</v>
      </c>
      <c r="H25" s="1199" t="str">
        <f>IFERROR(IF(INDEX('PR Cash Reconciliation_2A,B,C,D'!$I$7:$I$55,MATCH(A25,'PR Cash Reconciliation_2A,B,C,D'!$A$7:$A$55,0))=0,"",INDEX('PR Cash Reconciliation_2A,B,C,D'!$I$7:$I$55,MATCH(A25,'PR Cash Reconciliation_2A,B,C,D'!$A$7:$A$55,0))),"")</f>
        <v/>
      </c>
    </row>
    <row r="26" spans="1:8" x14ac:dyDescent="0.2">
      <c r="A26" s="1199" t="s">
        <v>471</v>
      </c>
      <c r="B26" s="1198" t="s">
        <v>1139</v>
      </c>
      <c r="C26" s="1285">
        <f>IFERROR(INDEX('PR Cash Reconciliation_2A,B,C,D'!$C$7:$C$55,MATCH(A26,'PR Cash Reconciliation_2A,B,C,D'!$A$7:$A$55,0)),"")</f>
        <v>0</v>
      </c>
      <c r="D26" s="1285">
        <f>IFERROR(INDEX('PR Cash Reconciliation_2A,B,C,D'!$D$7:$D$55,MATCH(A26,'PR Cash Reconciliation_2A,B,C,D'!$A$7:$A$55,0)),"")</f>
        <v>0</v>
      </c>
      <c r="E26" s="1199" t="str">
        <f>IFERROR(IF(INDEX('PR Cash Reconciliation_2A,B,C,D'!$E$7:$E$55,MATCH(A26,'PR Cash Reconciliation_2A,B,C,D'!$A$7:$A$55,0))=0,"",INDEX('PR Cash Reconciliation_2A,B,C,D'!$E$7:$E$55,MATCH(A26,'PR Cash Reconciliation_2A,B,C,D'!$A$7:$A$55,0))),"")</f>
        <v/>
      </c>
      <c r="F26" s="1285">
        <f>IFERROR(INDEX('PR Cash Reconciliation_2A,B,C,D'!$F$7:$F$55,MATCH(A26,'PR Cash Reconciliation_2A,B,C,D'!$A$7:$A$55,0)),"")</f>
        <v>0</v>
      </c>
      <c r="G26" s="1285">
        <f>IFERROR(INDEX('PR Cash Reconciliation_2A,B,C,D'!$G$7:$G$55,MATCH(A26,'PR Cash Reconciliation_2A,B,C,D'!$A$7:$A$55,0)),"")</f>
        <v>0</v>
      </c>
      <c r="H26" s="1199" t="str">
        <f>IFERROR(IF(INDEX('PR Cash Reconciliation_2A,B,C,D'!$I$7:$I$55,MATCH(A26,'PR Cash Reconciliation_2A,B,C,D'!$A$7:$A$55,0))=0,"",INDEX('PR Cash Reconciliation_2A,B,C,D'!$I$7:$I$55,MATCH(A26,'PR Cash Reconciliation_2A,B,C,D'!$A$7:$A$55,0))),"")</f>
        <v/>
      </c>
    </row>
    <row r="27" spans="1:8" x14ac:dyDescent="0.2">
      <c r="A27" s="1199" t="s">
        <v>472</v>
      </c>
      <c r="B27" s="1198" t="s">
        <v>1140</v>
      </c>
      <c r="C27" s="1285">
        <f>IFERROR(INDEX('PR Cash Reconciliation_2A,B,C,D'!$C$7:$C$55,MATCH(A27,'PR Cash Reconciliation_2A,B,C,D'!$A$7:$A$55,0)),"")</f>
        <v>0</v>
      </c>
      <c r="D27" s="1285">
        <f>IFERROR(INDEX('PR Cash Reconciliation_2A,B,C,D'!$D$7:$D$55,MATCH(A27,'PR Cash Reconciliation_2A,B,C,D'!$A$7:$A$55,0)),"")</f>
        <v>89566.81</v>
      </c>
      <c r="E27" s="1199" t="str">
        <f>IFERROR(IF(INDEX('PR Cash Reconciliation_2A,B,C,D'!$E$7:$E$55,MATCH(A27,'PR Cash Reconciliation_2A,B,C,D'!$A$7:$A$55,0))=0,"",INDEX('PR Cash Reconciliation_2A,B,C,D'!$E$7:$E$55,MATCH(A27,'PR Cash Reconciliation_2A,B,C,D'!$A$7:$A$55,0))),"")</f>
        <v>Disbursement Number : ROU-T-RAAP01-D03.0.3/08.02.2017; inv 4406/307/66385/12.01.2018</v>
      </c>
      <c r="F27" s="1285">
        <f>IFERROR(INDEX('PR Cash Reconciliation_2A,B,C,D'!$F$7:$F$55,MATCH(A27,'PR Cash Reconciliation_2A,B,C,D'!$A$7:$A$55,0)),"")</f>
        <v>0</v>
      </c>
      <c r="G27" s="1285">
        <f>IFERROR(INDEX('PR Cash Reconciliation_2A,B,C,D'!$G$7:$G$55,MATCH(A27,'PR Cash Reconciliation_2A,B,C,D'!$A$7:$A$55,0)),"")</f>
        <v>0</v>
      </c>
      <c r="H27" s="1199" t="str">
        <f>IFERROR(IF(INDEX('PR Cash Reconciliation_2A,B,C,D'!$I$7:$I$55,MATCH(A27,'PR Cash Reconciliation_2A,B,C,D'!$A$7:$A$55,0))=0,"",INDEX('PR Cash Reconciliation_2A,B,C,D'!$I$7:$I$55,MATCH(A27,'PR Cash Reconciliation_2A,B,C,D'!$A$7:$A$55,0))),"")</f>
        <v/>
      </c>
    </row>
    <row r="28" spans="1:8" x14ac:dyDescent="0.2">
      <c r="A28" s="1199" t="s">
        <v>473</v>
      </c>
      <c r="B28" s="1198" t="s">
        <v>1141</v>
      </c>
      <c r="C28" s="1285">
        <f>IFERROR(INDEX('PR Cash Reconciliation_2A,B,C,D'!$C$7:$C$55,MATCH(A28,'PR Cash Reconciliation_2A,B,C,D'!$A$7:$A$55,0)),"")</f>
        <v>0</v>
      </c>
      <c r="D28" s="1285">
        <f>IFERROR(INDEX('PR Cash Reconciliation_2A,B,C,D'!$D$7:$D$55,MATCH(A28,'PR Cash Reconciliation_2A,B,C,D'!$A$7:$A$55,0)),"")</f>
        <v>272790</v>
      </c>
      <c r="E28" s="1199" t="str">
        <f>IFERROR(IF(INDEX('PR Cash Reconciliation_2A,B,C,D'!$E$7:$E$55,MATCH(A28,'PR Cash Reconciliation_2A,B,C,D'!$A$7:$A$55,0))=0,"",INDEX('PR Cash Reconciliation_2A,B,C,D'!$E$7:$E$55,MATCH(A28,'PR Cash Reconciliation_2A,B,C,D'!$A$7:$A$55,0))),"")</f>
        <v>Amounts taken from sheet "Commitments_Obligations"</v>
      </c>
      <c r="F28" s="1285">
        <f>IFERROR(INDEX('PR Cash Reconciliation_2A,B,C,D'!$F$7:$F$55,MATCH(A28,'PR Cash Reconciliation_2A,B,C,D'!$A$7:$A$55,0)),"")</f>
        <v>0</v>
      </c>
      <c r="G28" s="1285">
        <f>IFERROR(INDEX('PR Cash Reconciliation_2A,B,C,D'!$G$7:$G$55,MATCH(A28,'PR Cash Reconciliation_2A,B,C,D'!$A$7:$A$55,0)),"")</f>
        <v>0</v>
      </c>
      <c r="H28" s="1199" t="str">
        <f>IFERROR(IF(INDEX('PR Cash Reconciliation_2A,B,C,D'!$I$7:$I$55,MATCH(A28,'PR Cash Reconciliation_2A,B,C,D'!$A$7:$A$55,0))=0,"",INDEX('PR Cash Reconciliation_2A,B,C,D'!$I$7:$I$55,MATCH(A28,'PR Cash Reconciliation_2A,B,C,D'!$A$7:$A$55,0))),"")</f>
        <v/>
      </c>
    </row>
    <row r="29" spans="1:8" x14ac:dyDescent="0.2">
      <c r="A29" s="1199" t="s">
        <v>474</v>
      </c>
      <c r="B29" s="1198" t="s">
        <v>1142</v>
      </c>
      <c r="C29" s="1285">
        <f>IFERROR(INDEX('PR Cash Reconciliation_2A,B,C,D'!$C$7:$C$55,MATCH(A29,'PR Cash Reconciliation_2A,B,C,D'!$A$7:$A$55,0)),"")</f>
        <v>0</v>
      </c>
      <c r="D29" s="1285">
        <f>IFERROR(INDEX('PR Cash Reconciliation_2A,B,C,D'!$D$7:$D$55,MATCH(A29,'PR Cash Reconciliation_2A,B,C,D'!$A$7:$A$55,0)),"")</f>
        <v>0</v>
      </c>
      <c r="E29" s="1199" t="str">
        <f>IFERROR(IF(INDEX('PR Cash Reconciliation_2A,B,C,D'!$E$7:$E$55,MATCH(A29,'PR Cash Reconciliation_2A,B,C,D'!$A$7:$A$55,0))=0,"",INDEX('PR Cash Reconciliation_2A,B,C,D'!$E$7:$E$55,MATCH(A29,'PR Cash Reconciliation_2A,B,C,D'!$A$7:$A$55,0))),"")</f>
        <v/>
      </c>
      <c r="F29" s="1285">
        <f>IFERROR(INDEX('PR Cash Reconciliation_2A,B,C,D'!$F$7:$F$55,MATCH(A29,'PR Cash Reconciliation_2A,B,C,D'!$A$7:$A$55,0)),"")</f>
        <v>0</v>
      </c>
      <c r="G29" s="1285">
        <f>IFERROR(INDEX('PR Cash Reconciliation_2A,B,C,D'!$G$7:$G$55,MATCH(A29,'PR Cash Reconciliation_2A,B,C,D'!$A$7:$A$55,0)),"")</f>
        <v>0</v>
      </c>
      <c r="H29" s="1199" t="str">
        <f>IFERROR(IF(INDEX('PR Cash Reconciliation_2A,B,C,D'!$I$7:$I$55,MATCH(A29,'PR Cash Reconciliation_2A,B,C,D'!$A$7:$A$55,0))=0,"",INDEX('PR Cash Reconciliation_2A,B,C,D'!$I$7:$I$55,MATCH(A29,'PR Cash Reconciliation_2A,B,C,D'!$A$7:$A$55,0))),"")</f>
        <v/>
      </c>
    </row>
    <row r="30" spans="1:8" x14ac:dyDescent="0.2">
      <c r="A30" s="1199" t="s">
        <v>1143</v>
      </c>
      <c r="B30" s="1198" t="s">
        <v>1144</v>
      </c>
      <c r="C30" s="1285" t="str">
        <f>IFERROR(INDEX('PR Cash Reconciliation_2A,B,C,D'!$C$7:$C$55,MATCH(A30,'PR Cash Reconciliation_2A,B,C,D'!$A$7:$A$55,0)),"")</f>
        <v/>
      </c>
      <c r="D30" s="1285" t="str">
        <f>IFERROR(INDEX('PR Cash Reconciliation_2A,B,C,D'!$D$7:$D$55,MATCH(A30,'PR Cash Reconciliation_2A,B,C,D'!$A$7:$A$55,0)),"")</f>
        <v/>
      </c>
      <c r="E30" s="1199" t="str">
        <f>IFERROR(IF(INDEX('PR Cash Reconciliation_2A,B,C,D'!$E$7:$E$55,MATCH(A30,'PR Cash Reconciliation_2A,B,C,D'!$A$7:$A$55,0))=0,"",INDEX('PR Cash Reconciliation_2A,B,C,D'!$E$7:$E$55,MATCH(A30,'PR Cash Reconciliation_2A,B,C,D'!$A$7:$A$55,0))),"")</f>
        <v/>
      </c>
      <c r="F30" s="1285" t="str">
        <f>IFERROR(INDEX('PR Cash Reconciliation_2A,B,C,D'!$F$7:$F$55,MATCH(A30,'PR Cash Reconciliation_2A,B,C,D'!$A$7:$A$55,0)),"")</f>
        <v/>
      </c>
      <c r="G30" s="1285" t="str">
        <f>IFERROR(INDEX('PR Cash Reconciliation_2A,B,C,D'!$G$7:$G$55,MATCH(A30,'PR Cash Reconciliation_2A,B,C,D'!$A$7:$A$55,0)),"")</f>
        <v/>
      </c>
      <c r="H30" s="1199" t="str">
        <f>IFERROR(IF(INDEX('PR Cash Reconciliation_2A,B,C,D'!$I$7:$I$55,MATCH(A30,'PR Cash Reconciliation_2A,B,C,D'!$A$7:$A$55,0))=0,"",INDEX('PR Cash Reconciliation_2A,B,C,D'!$I$7:$I$55,MATCH(A30,'PR Cash Reconciliation_2A,B,C,D'!$A$7:$A$55,0))),"")</f>
        <v/>
      </c>
    </row>
    <row r="31" spans="1:8" x14ac:dyDescent="0.2">
      <c r="A31" s="1199" t="s">
        <v>475</v>
      </c>
      <c r="B31" s="1198" t="s">
        <v>1145</v>
      </c>
      <c r="C31" s="1285">
        <f>IFERROR(INDEX('PR Cash Reconciliation_2A,B,C,D'!$C$7:$C$55,MATCH(A31,'PR Cash Reconciliation_2A,B,C,D'!$A$7:$A$55,0)),"")</f>
        <v>0</v>
      </c>
      <c r="D31" s="1285">
        <f>IFERROR(INDEX('PR Cash Reconciliation_2A,B,C,D'!$D$7:$D$55,MATCH(A31,'PR Cash Reconciliation_2A,B,C,D'!$A$7:$A$55,0)),"")</f>
        <v>272790</v>
      </c>
      <c r="E31" s="1199" t="str">
        <f>IFERROR(IF(INDEX('PR Cash Reconciliation_2A,B,C,D'!$E$7:$E$55,MATCH(A31,'PR Cash Reconciliation_2A,B,C,D'!$A$7:$A$55,0))=0,"",INDEX('PR Cash Reconciliation_2A,B,C,D'!$E$7:$E$55,MATCH(A31,'PR Cash Reconciliation_2A,B,C,D'!$A$7:$A$55,0))),"")</f>
        <v/>
      </c>
      <c r="F31" s="1285">
        <f>IFERROR(INDEX('PR Cash Reconciliation_2A,B,C,D'!$F$7:$F$55,MATCH(A31,'PR Cash Reconciliation_2A,B,C,D'!$A$7:$A$55,0)),"")</f>
        <v>0</v>
      </c>
      <c r="G31" s="1285">
        <f>IFERROR(INDEX('PR Cash Reconciliation_2A,B,C,D'!$G$7:$G$55,MATCH(A31,'PR Cash Reconciliation_2A,B,C,D'!$A$7:$A$55,0)),"")</f>
        <v>0</v>
      </c>
      <c r="H31" s="1199" t="str">
        <f>IFERROR(IF(INDEX('PR Cash Reconciliation_2A,B,C,D'!$I$7:$I$55,MATCH(A31,'PR Cash Reconciliation_2A,B,C,D'!$A$7:$A$55,0))=0,"",INDEX('PR Cash Reconciliation_2A,B,C,D'!$I$7:$I$55,MATCH(A31,'PR Cash Reconciliation_2A,B,C,D'!$A$7:$A$55,0))),"")</f>
        <v/>
      </c>
    </row>
    <row r="32" spans="1:8" x14ac:dyDescent="0.2">
      <c r="A32" s="1199" t="s">
        <v>476</v>
      </c>
      <c r="B32" s="1198" t="s">
        <v>1146</v>
      </c>
      <c r="C32" s="1285">
        <f>IFERROR(INDEX('PR Cash Reconciliation_2A,B,C,D'!$C$7:$C$55,MATCH(A32,'PR Cash Reconciliation_2A,B,C,D'!$A$7:$A$55,0)),"")</f>
        <v>0</v>
      </c>
      <c r="D32" s="1285">
        <f>IFERROR(INDEX('PR Cash Reconciliation_2A,B,C,D'!$D$7:$D$55,MATCH(A32,'PR Cash Reconciliation_2A,B,C,D'!$A$7:$A$55,0)),"")</f>
        <v>0</v>
      </c>
      <c r="E32" s="1199" t="str">
        <f>IFERROR(IF(INDEX('PR Cash Reconciliation_2A,B,C,D'!$E$7:$E$55,MATCH(A32,'PR Cash Reconciliation_2A,B,C,D'!$A$7:$A$55,0))=0,"",INDEX('PR Cash Reconciliation_2A,B,C,D'!$E$7:$E$55,MATCH(A32,'PR Cash Reconciliation_2A,B,C,D'!$A$7:$A$55,0))),"")</f>
        <v/>
      </c>
      <c r="F32" s="1285">
        <f>IFERROR(INDEX('PR Cash Reconciliation_2A,B,C,D'!$F$7:$F$55,MATCH(A32,'PR Cash Reconciliation_2A,B,C,D'!$A$7:$A$55,0)),"")</f>
        <v>0</v>
      </c>
      <c r="G32" s="1285">
        <f>IFERROR(INDEX('PR Cash Reconciliation_2A,B,C,D'!$G$7:$G$55,MATCH(A32,'PR Cash Reconciliation_2A,B,C,D'!$A$7:$A$55,0)),"")</f>
        <v>0</v>
      </c>
      <c r="H32" s="1199" t="str">
        <f>IFERROR(IF(INDEX('PR Cash Reconciliation_2A,B,C,D'!$I$7:$I$55,MATCH(A32,'PR Cash Reconciliation_2A,B,C,D'!$A$7:$A$55,0))=0,"",INDEX('PR Cash Reconciliation_2A,B,C,D'!$I$7:$I$55,MATCH(A32,'PR Cash Reconciliation_2A,B,C,D'!$A$7:$A$55,0))),"")</f>
        <v/>
      </c>
    </row>
    <row r="33" spans="1:8" x14ac:dyDescent="0.2">
      <c r="A33" s="1199" t="s">
        <v>477</v>
      </c>
      <c r="B33" s="1198" t="s">
        <v>1147</v>
      </c>
      <c r="C33" s="1285">
        <f>IFERROR(INDEX('PR Cash Reconciliation_2A,B,C,D'!$C$7:$C$55,MATCH(A33,'PR Cash Reconciliation_2A,B,C,D'!$A$7:$A$55,0)),"")</f>
        <v>0</v>
      </c>
      <c r="D33" s="1285">
        <f>IFERROR(INDEX('PR Cash Reconciliation_2A,B,C,D'!$D$7:$D$55,MATCH(A33,'PR Cash Reconciliation_2A,B,C,D'!$A$7:$A$55,0)),"")</f>
        <v>0</v>
      </c>
      <c r="E33" s="1199" t="str">
        <f>IFERROR(IF(INDEX('PR Cash Reconciliation_2A,B,C,D'!$E$7:$E$55,MATCH(A33,'PR Cash Reconciliation_2A,B,C,D'!$A$7:$A$55,0))=0,"",INDEX('PR Cash Reconciliation_2A,B,C,D'!$E$7:$E$55,MATCH(A33,'PR Cash Reconciliation_2A,B,C,D'!$A$7:$A$55,0))),"")</f>
        <v/>
      </c>
      <c r="F33" s="1285">
        <f>IFERROR(INDEX('PR Cash Reconciliation_2A,B,C,D'!$F$7:$F$55,MATCH(A33,'PR Cash Reconciliation_2A,B,C,D'!$A$7:$A$55,0)),"")</f>
        <v>0</v>
      </c>
      <c r="G33" s="1285">
        <f>IFERROR(INDEX('PR Cash Reconciliation_2A,B,C,D'!$G$7:$G$55,MATCH(A33,'PR Cash Reconciliation_2A,B,C,D'!$A$7:$A$55,0)),"")</f>
        <v>0</v>
      </c>
      <c r="H33" s="1199" t="str">
        <f>IFERROR(IF(INDEX('PR Cash Reconciliation_2A,B,C,D'!$I$7:$I$55,MATCH(A33,'PR Cash Reconciliation_2A,B,C,D'!$A$7:$A$55,0))=0,"",INDEX('PR Cash Reconciliation_2A,B,C,D'!$I$7:$I$55,MATCH(A33,'PR Cash Reconciliation_2A,B,C,D'!$A$7:$A$55,0))),"")</f>
        <v/>
      </c>
    </row>
    <row r="34" spans="1:8" x14ac:dyDescent="0.2">
      <c r="A34" s="1199" t="s">
        <v>478</v>
      </c>
      <c r="B34" s="1198" t="s">
        <v>1148</v>
      </c>
      <c r="C34" s="1285">
        <f>IFERROR(INDEX('PR Cash Reconciliation_2A,B,C,D'!$C$7:$C$55,MATCH(A34,'PR Cash Reconciliation_2A,B,C,D'!$A$7:$A$55,0)),"")</f>
        <v>0</v>
      </c>
      <c r="D34" s="1285">
        <f>IFERROR(INDEX('PR Cash Reconciliation_2A,B,C,D'!$D$7:$D$55,MATCH(A34,'PR Cash Reconciliation_2A,B,C,D'!$A$7:$A$55,0)),"")</f>
        <v>0</v>
      </c>
      <c r="E34" s="1199" t="str">
        <f>IFERROR(IF(INDEX('PR Cash Reconciliation_2A,B,C,D'!$E$7:$E$55,MATCH(A34,'PR Cash Reconciliation_2A,B,C,D'!$A$7:$A$55,0))=0,"",INDEX('PR Cash Reconciliation_2A,B,C,D'!$E$7:$E$55,MATCH(A34,'PR Cash Reconciliation_2A,B,C,D'!$A$7:$A$55,0))),"")</f>
        <v/>
      </c>
      <c r="F34" s="1285">
        <f>IFERROR(INDEX('PR Cash Reconciliation_2A,B,C,D'!$F$7:$F$55,MATCH(A34,'PR Cash Reconciliation_2A,B,C,D'!$A$7:$A$55,0)),"")</f>
        <v>0</v>
      </c>
      <c r="G34" s="1285">
        <f>IFERROR(INDEX('PR Cash Reconciliation_2A,B,C,D'!$G$7:$G$55,MATCH(A34,'PR Cash Reconciliation_2A,B,C,D'!$A$7:$A$55,0)),"")</f>
        <v>0</v>
      </c>
      <c r="H34" s="1199" t="str">
        <f>IFERROR(IF(INDEX('PR Cash Reconciliation_2A,B,C,D'!$I$7:$I$55,MATCH(A34,'PR Cash Reconciliation_2A,B,C,D'!$A$7:$A$55,0))=0,"",INDEX('PR Cash Reconciliation_2A,B,C,D'!$I$7:$I$55,MATCH(A34,'PR Cash Reconciliation_2A,B,C,D'!$A$7:$A$55,0))),"")</f>
        <v/>
      </c>
    </row>
    <row r="35" spans="1:8" x14ac:dyDescent="0.2">
      <c r="A35" s="1199" t="s">
        <v>479</v>
      </c>
      <c r="B35" s="1198" t="s">
        <v>1149</v>
      </c>
      <c r="C35" s="1285">
        <f>IFERROR(INDEX('PR Cash Reconciliation_2A,B,C,D'!$C$7:$C$55,MATCH(A35,'PR Cash Reconciliation_2A,B,C,D'!$A$7:$A$55,0)),"")</f>
        <v>0</v>
      </c>
      <c r="D35" s="1285">
        <f>IFERROR(INDEX('PR Cash Reconciliation_2A,B,C,D'!$D$7:$D$55,MATCH(A35,'PR Cash Reconciliation_2A,B,C,D'!$A$7:$A$55,0)),"")</f>
        <v>0</v>
      </c>
      <c r="E35" s="1199" t="str">
        <f>IFERROR(IF(INDEX('PR Cash Reconciliation_2A,B,C,D'!$E$7:$E$55,MATCH(A35,'PR Cash Reconciliation_2A,B,C,D'!$A$7:$A$55,0))=0,"",INDEX('PR Cash Reconciliation_2A,B,C,D'!$E$7:$E$55,MATCH(A35,'PR Cash Reconciliation_2A,B,C,D'!$A$7:$A$55,0))),"")</f>
        <v/>
      </c>
      <c r="F35" s="1285">
        <f>IFERROR(INDEX('PR Cash Reconciliation_2A,B,C,D'!$F$7:$F$55,MATCH(A35,'PR Cash Reconciliation_2A,B,C,D'!$A$7:$A$55,0)),"")</f>
        <v>0</v>
      </c>
      <c r="G35" s="1285">
        <f>IFERROR(INDEX('PR Cash Reconciliation_2A,B,C,D'!$G$7:$G$55,MATCH(A35,'PR Cash Reconciliation_2A,B,C,D'!$A$7:$A$55,0)),"")</f>
        <v>0</v>
      </c>
      <c r="H35" s="1199" t="str">
        <f>IFERROR(IF(INDEX('PR Cash Reconciliation_2A,B,C,D'!$I$7:$I$55,MATCH(A35,'PR Cash Reconciliation_2A,B,C,D'!$A$7:$A$55,0))=0,"",INDEX('PR Cash Reconciliation_2A,B,C,D'!$I$7:$I$55,MATCH(A35,'PR Cash Reconciliation_2A,B,C,D'!$A$7:$A$55,0))),"")</f>
        <v/>
      </c>
    </row>
    <row r="36" spans="1:8" x14ac:dyDescent="0.2">
      <c r="A36" s="1199" t="s">
        <v>480</v>
      </c>
      <c r="B36" s="1198" t="s">
        <v>1150</v>
      </c>
      <c r="C36" s="1285">
        <f>IFERROR(INDEX('PR Cash Reconciliation_2A,B,C,D'!$C$7:$C$55,MATCH(A36,'PR Cash Reconciliation_2A,B,C,D'!$A$7:$A$55,0)),"")</f>
        <v>0</v>
      </c>
      <c r="D36" s="1285">
        <f>IFERROR(INDEX('PR Cash Reconciliation_2A,B,C,D'!$D$7:$D$55,MATCH(A36,'PR Cash Reconciliation_2A,B,C,D'!$A$7:$A$55,0)),"")</f>
        <v>0</v>
      </c>
      <c r="E36" s="1199" t="str">
        <f>IFERROR(IF(INDEX('PR Cash Reconciliation_2A,B,C,D'!$E$7:$E$55,MATCH(A36,'PR Cash Reconciliation_2A,B,C,D'!$A$7:$A$55,0))=0,"",INDEX('PR Cash Reconciliation_2A,B,C,D'!$E$7:$E$55,MATCH(A36,'PR Cash Reconciliation_2A,B,C,D'!$A$7:$A$55,0))),"")</f>
        <v/>
      </c>
      <c r="F36" s="1285">
        <f>IFERROR(INDEX('PR Cash Reconciliation_2A,B,C,D'!$F$7:$F$55,MATCH(A36,'PR Cash Reconciliation_2A,B,C,D'!$A$7:$A$55,0)),"")</f>
        <v>0</v>
      </c>
      <c r="G36" s="1285">
        <f>IFERROR(INDEX('PR Cash Reconciliation_2A,B,C,D'!$G$7:$G$55,MATCH(A36,'PR Cash Reconciliation_2A,B,C,D'!$A$7:$A$55,0)),"")</f>
        <v>0</v>
      </c>
      <c r="H36" s="1199" t="str">
        <f>IFERROR(IF(INDEX('PR Cash Reconciliation_2A,B,C,D'!$I$7:$I$55,MATCH(A36,'PR Cash Reconciliation_2A,B,C,D'!$A$7:$A$55,0))=0,"",INDEX('PR Cash Reconciliation_2A,B,C,D'!$I$7:$I$55,MATCH(A36,'PR Cash Reconciliation_2A,B,C,D'!$A$7:$A$55,0))),"")</f>
        <v/>
      </c>
    </row>
    <row r="37" spans="1:8" x14ac:dyDescent="0.2">
      <c r="A37" s="1199" t="s">
        <v>1151</v>
      </c>
      <c r="B37" s="1198" t="s">
        <v>1152</v>
      </c>
      <c r="C37" s="1285" t="str">
        <f>IFERROR(INDEX('PR Cash Reconciliation_2A,B,C,D'!$C$7:$C$55,MATCH(A37,'PR Cash Reconciliation_2A,B,C,D'!$A$7:$A$55,0)),"")</f>
        <v/>
      </c>
      <c r="D37" s="1285" t="str">
        <f>IFERROR(INDEX('PR Cash Reconciliation_2A,B,C,D'!$D$7:$D$55,MATCH(A37,'PR Cash Reconciliation_2A,B,C,D'!$A$7:$A$55,0)),"")</f>
        <v/>
      </c>
      <c r="E37" s="1199" t="str">
        <f>IFERROR(IF(INDEX('PR Cash Reconciliation_2A,B,C,D'!$E$7:$E$55,MATCH(A37,'PR Cash Reconciliation_2A,B,C,D'!$A$7:$A$55,0))=0,"",INDEX('PR Cash Reconciliation_2A,B,C,D'!$E$7:$E$55,MATCH(A37,'PR Cash Reconciliation_2A,B,C,D'!$A$7:$A$55,0))),"")</f>
        <v/>
      </c>
      <c r="F37" s="1285" t="str">
        <f>IFERROR(INDEX('PR Cash Reconciliation_2A,B,C,D'!$F$7:$F$55,MATCH(A37,'PR Cash Reconciliation_2A,B,C,D'!$A$7:$A$55,0)),"")</f>
        <v/>
      </c>
      <c r="G37" s="1285" t="str">
        <f>IFERROR(INDEX('PR Cash Reconciliation_2A,B,C,D'!$G$7:$G$55,MATCH(A37,'PR Cash Reconciliation_2A,B,C,D'!$A$7:$A$55,0)),"")</f>
        <v/>
      </c>
      <c r="H37" s="1199" t="str">
        <f>IFERROR(IF(INDEX('PR Cash Reconciliation_2A,B,C,D'!$I$7:$I$55,MATCH(A37,'PR Cash Reconciliation_2A,B,C,D'!$A$7:$A$55,0))=0,"",INDEX('PR Cash Reconciliation_2A,B,C,D'!$I$7:$I$55,MATCH(A37,'PR Cash Reconciliation_2A,B,C,D'!$A$7:$A$55,0))),"")</f>
        <v/>
      </c>
    </row>
    <row r="38" spans="1:8" x14ac:dyDescent="0.2">
      <c r="A38" s="1199" t="s">
        <v>1153</v>
      </c>
      <c r="B38" s="1198" t="s">
        <v>1154</v>
      </c>
      <c r="C38" s="1285" t="str">
        <f>IFERROR(INDEX('PR Cash Reconciliation_2A,B,C,D'!$C$7:$C$55,MATCH(A38,'PR Cash Reconciliation_2A,B,C,D'!$A$7:$A$55,0)),"")</f>
        <v/>
      </c>
      <c r="D38" s="1285" t="str">
        <f>IFERROR(INDEX('PR Cash Reconciliation_2A,B,C,D'!$D$7:$D$55,MATCH(A38,'PR Cash Reconciliation_2A,B,C,D'!$A$7:$A$55,0)),"")</f>
        <v/>
      </c>
      <c r="E38" s="1199" t="str">
        <f>IFERROR(IF(INDEX('PR Cash Reconciliation_2A,B,C,D'!$E$7:$E$55,MATCH(A38,'PR Cash Reconciliation_2A,B,C,D'!$A$7:$A$55,0))=0,"",INDEX('PR Cash Reconciliation_2A,B,C,D'!$E$7:$E$55,MATCH(A38,'PR Cash Reconciliation_2A,B,C,D'!$A$7:$A$55,0))),"")</f>
        <v/>
      </c>
      <c r="F38" s="1285" t="str">
        <f>IFERROR(INDEX('PR Cash Reconciliation_2A,B,C,D'!$F$7:$F$55,MATCH(A38,'PR Cash Reconciliation_2A,B,C,D'!$A$7:$A$55,0)),"")</f>
        <v/>
      </c>
      <c r="G38" s="1285" t="str">
        <f>IFERROR(INDEX('PR Cash Reconciliation_2A,B,C,D'!$G$7:$G$55,MATCH(A38,'PR Cash Reconciliation_2A,B,C,D'!$A$7:$A$55,0)),"")</f>
        <v/>
      </c>
      <c r="H38" s="1199" t="str">
        <f>IFERROR(IF(INDEX('PR Cash Reconciliation_2A,B,C,D'!$I$7:$I$55,MATCH(A38,'PR Cash Reconciliation_2A,B,C,D'!$A$7:$A$55,0))=0,"",INDEX('PR Cash Reconciliation_2A,B,C,D'!$I$7:$I$55,MATCH(A38,'PR Cash Reconciliation_2A,B,C,D'!$A$7:$A$55,0))),"")</f>
        <v/>
      </c>
    </row>
    <row r="39" spans="1:8" x14ac:dyDescent="0.2">
      <c r="A39" s="1199" t="s">
        <v>1155</v>
      </c>
      <c r="B39" s="1198" t="s">
        <v>1156</v>
      </c>
      <c r="C39" s="1285" t="str">
        <f>IFERROR(INDEX('PR Cash Reconciliation_2A,B,C,D'!$C$7:$C$55,MATCH(A39,'PR Cash Reconciliation_2A,B,C,D'!$A$7:$A$55,0)),"")</f>
        <v/>
      </c>
      <c r="D39" s="1285" t="str">
        <f>IFERROR(INDEX('PR Cash Reconciliation_2A,B,C,D'!$D$7:$D$55,MATCH(A39,'PR Cash Reconciliation_2A,B,C,D'!$A$7:$A$55,0)),"")</f>
        <v/>
      </c>
      <c r="E39" s="1199" t="str">
        <f>IFERROR(IF(INDEX('PR Cash Reconciliation_2A,B,C,D'!$E$7:$E$55,MATCH(A39,'PR Cash Reconciliation_2A,B,C,D'!$A$7:$A$55,0))=0,"",INDEX('PR Cash Reconciliation_2A,B,C,D'!$E$7:$E$55,MATCH(A39,'PR Cash Reconciliation_2A,B,C,D'!$A$7:$A$55,0))),"")</f>
        <v/>
      </c>
      <c r="F39" s="1285" t="str">
        <f>IFERROR(INDEX('PR Cash Reconciliation_2A,B,C,D'!$F$7:$F$55,MATCH(A39,'PR Cash Reconciliation_2A,B,C,D'!$A$7:$A$55,0)),"")</f>
        <v/>
      </c>
      <c r="G39" s="1285" t="str">
        <f>IFERROR(INDEX('PR Cash Reconciliation_2A,B,C,D'!$G$7:$G$55,MATCH(A39,'PR Cash Reconciliation_2A,B,C,D'!$A$7:$A$55,0)),"")</f>
        <v/>
      </c>
      <c r="H39" s="1199" t="str">
        <f>IFERROR(IF(INDEX('PR Cash Reconciliation_2A,B,C,D'!$I$7:$I$55,MATCH(A39,'PR Cash Reconciliation_2A,B,C,D'!$A$7:$A$55,0))=0,"",INDEX('PR Cash Reconciliation_2A,B,C,D'!$I$7:$I$55,MATCH(A39,'PR Cash Reconciliation_2A,B,C,D'!$A$7:$A$55,0))),"")</f>
        <v/>
      </c>
    </row>
    <row r="40" spans="1:8" x14ac:dyDescent="0.2">
      <c r="A40" s="1199" t="s">
        <v>1157</v>
      </c>
      <c r="B40" s="1198" t="s">
        <v>1158</v>
      </c>
      <c r="C40" s="1285" t="str">
        <f>IFERROR(INDEX('PR Cash Reconciliation_2A,B,C,D'!$C$7:$C$55,MATCH(A40,'PR Cash Reconciliation_2A,B,C,D'!$A$7:$A$55,0)),"")</f>
        <v/>
      </c>
      <c r="D40" s="1285" t="str">
        <f>IFERROR(INDEX('PR Cash Reconciliation_2A,B,C,D'!$D$7:$D$55,MATCH(A40,'PR Cash Reconciliation_2A,B,C,D'!$A$7:$A$55,0)),"")</f>
        <v/>
      </c>
      <c r="E40" s="1199" t="str">
        <f>IFERROR(IF(INDEX('PR Cash Reconciliation_2A,B,C,D'!$E$7:$E$55,MATCH(A40,'PR Cash Reconciliation_2A,B,C,D'!$A$7:$A$55,0))=0,"",INDEX('PR Cash Reconciliation_2A,B,C,D'!$E$7:$E$55,MATCH(A40,'PR Cash Reconciliation_2A,B,C,D'!$A$7:$A$55,0))),"")</f>
        <v/>
      </c>
      <c r="F40" s="1285" t="str">
        <f>IFERROR(INDEX('PR Cash Reconciliation_2A,B,C,D'!$F$7:$F$55,MATCH(A40,'PR Cash Reconciliation_2A,B,C,D'!$A$7:$A$55,0)),"")</f>
        <v/>
      </c>
      <c r="G40" s="1285" t="str">
        <f>IFERROR(INDEX('PR Cash Reconciliation_2A,B,C,D'!$G$7:$G$55,MATCH(A40,'PR Cash Reconciliation_2A,B,C,D'!$A$7:$A$55,0)),"")</f>
        <v/>
      </c>
      <c r="H40" s="1199" t="str">
        <f>IFERROR(IF(INDEX('PR Cash Reconciliation_2A,B,C,D'!$I$7:$I$55,MATCH(A40,'PR Cash Reconciliation_2A,B,C,D'!$A$7:$A$55,0))=0,"",INDEX('PR Cash Reconciliation_2A,B,C,D'!$I$7:$I$55,MATCH(A40,'PR Cash Reconciliation_2A,B,C,D'!$A$7:$A$55,0))),"")</f>
        <v/>
      </c>
    </row>
  </sheetData>
  <dataValidations count="5">
    <dataValidation type="custom" allowBlank="1" showInputMessage="1" showErrorMessage="1" errorTitle="X-Author for Excel" error="Id and Lookup fields are not editable." promptTitle="X-Author for Excel" sqref="B4:B40">
      <formula1>""</formula1>
    </dataValidation>
    <dataValidation type="decimal" allowBlank="1" showInputMessage="1" showErrorMessage="1" errorTitle="X-Author for Excel" error="Please enter a valid numeric value. Valid range for PR Cumulative is -9999999999.99 to 9999999999.99." promptTitle="X-Author for Excel" sqref="C4:C40">
      <formula1>-9999999999.99</formula1>
      <formula2>9999999999.99</formula2>
    </dataValidation>
    <dataValidation type="decimal" allowBlank="1" showInputMessage="1" showErrorMessage="1" errorTitle="X-Author for Excel" error="Please enter a valid numeric value. Valid range for PR Current is -9999999999.99 to 9999999999.99." promptTitle="X-Author for Excel" sqref="D4:D40">
      <formula1>-9999999999.99</formula1>
      <formula2>9999999999.99</formula2>
    </dataValidation>
    <dataValidation type="decimal" allowBlank="1" showInputMessage="1" showErrorMessage="1" errorTitle="X-Author for Excel" error="Please enter a valid numeric value. Valid range for LFA Cumulative is -9999999999.99 to 9999999999.99." promptTitle="X-Author for Excel" sqref="F4:F40">
      <formula1>-9999999999.99</formula1>
      <formula2>9999999999.99</formula2>
    </dataValidation>
    <dataValidation type="decimal" allowBlank="1" showInputMessage="1" showErrorMessage="1" errorTitle="X-Author for Excel" error="Please enter a valid numeric value. Valid range for LFA Current Adjust is -9999999999.99 to 9999999999.99." promptTitle="X-Author for Excel" sqref="G4:G40">
      <formula1>-9999999999.99</formula1>
      <formula2>9999999999.99</formula2>
    </dataValidation>
  </dataValidations>
  <pageMargins left="0.75" right="0.75" top="1" bottom="1" header="0.5" footer="0.5"/>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Working Excel" ma:contentTypeID="0x01010060AF44C4CE004F90858730CECCCDDE18004D250A5139136E4EB6C28921B539BB2E" ma:contentTypeVersion="1" ma:contentTypeDescription="An Excel spreadsheet." ma:contentTypeScope="" ma:versionID="d26ab6b31b77a1906ad702f75e064153">
  <xsd:schema xmlns:xsd="http://www.w3.org/2001/XMLSchema" xmlns:xs="http://www.w3.org/2001/XMLSchema" xmlns:p="http://schemas.microsoft.com/office/2006/metadata/properties" targetNamespace="http://schemas.microsoft.com/office/2006/metadata/properties" ma:root="true" ma:fieldsID="b3cacb2f47b03da04125327011e2d015">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haredContentType xmlns="Microsoft.SharePoint.Taxonomy.ContentTypeSync" SourceId="c097f1e6-5941-48e7-ac45-8c5509127d4f" ContentTypeId="0x01010060AF44C4CE004F90858730CECCCDDE18" PreviousValue="false"/>
</file>

<file path=customXml/itemProps1.xml><?xml version="1.0" encoding="utf-8"?>
<ds:datastoreItem xmlns:ds="http://schemas.openxmlformats.org/officeDocument/2006/customXml" ds:itemID="{B49F897B-7EBC-4077-9671-C4A3702CAC8C}">
  <ds:schemaRefs>
    <ds:schemaRef ds:uri="http://schemas.microsoft.com/sharepoint/v3/contenttype/forms"/>
  </ds:schemaRefs>
</ds:datastoreItem>
</file>

<file path=customXml/itemProps2.xml><?xml version="1.0" encoding="utf-8"?>
<ds:datastoreItem xmlns:ds="http://schemas.openxmlformats.org/officeDocument/2006/customXml" ds:itemID="{B441D00B-91A5-42E7-8707-A59700590D93}">
  <ds:schemaRefs>
    <ds:schemaRef ds:uri="http://schemas.microsoft.com/office/infopath/2007/PartnerControl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customXml/itemProps3.xml><?xml version="1.0" encoding="utf-8"?>
<ds:datastoreItem xmlns:ds="http://schemas.openxmlformats.org/officeDocument/2006/customXml" ds:itemID="{3C447CA8-54EC-4C45-85B1-E551A43BEEF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4.xml><?xml version="1.0" encoding="utf-8"?>
<ds:datastoreItem xmlns:ds="http://schemas.openxmlformats.org/officeDocument/2006/customXml" ds:itemID="{F59E4A74-1816-4915-92A8-E60341EC2287}">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Worksheets</vt:lpstr>
      </vt:variant>
      <vt:variant>
        <vt:i4>21</vt:i4>
      </vt:variant>
      <vt:variant>
        <vt:lpstr>Named Ranges</vt:lpstr>
      </vt:variant>
      <vt:variant>
        <vt:i4>561</vt:i4>
      </vt:variant>
    </vt:vector>
  </HeadingPairs>
  <TitlesOfParts>
    <vt:vector size="582" baseType="lpstr">
      <vt:lpstr>CoverSheet</vt:lpstr>
      <vt:lpstr>Impact Outcome Indicators_1A</vt:lpstr>
      <vt:lpstr>Disaggregation_1A</vt:lpstr>
      <vt:lpstr>Coverage Indicators_1B</vt:lpstr>
      <vt:lpstr>Disaggregation_1B</vt:lpstr>
      <vt:lpstr>WPTM_1C</vt:lpstr>
      <vt:lpstr>PR Cash Reconciliation_2A,B,C,D</vt:lpstr>
      <vt:lpstr>SR_Cash Reconciliation_2E</vt:lpstr>
      <vt:lpstr>Budget Variance_2F</vt:lpstr>
      <vt:lpstr>Procurement_3</vt:lpstr>
      <vt:lpstr>Grant Management_4</vt:lpstr>
      <vt:lpstr>PR-LFA Evaluation_5</vt:lpstr>
      <vt:lpstr>LFA_Findings&amp;Recommendations_6</vt:lpstr>
      <vt:lpstr>PR Expenditure_7A</vt:lpstr>
      <vt:lpstr>LFA Expenditure_7B</vt:lpstr>
      <vt:lpstr>Cash Forecast_8A</vt:lpstr>
      <vt:lpstr>Request and Recommendation_8B</vt:lpstr>
      <vt:lpstr>Commitments_Obligations</vt:lpstr>
      <vt:lpstr>PR Authorization_9A</vt:lpstr>
      <vt:lpstr>LFA Authorization_9B</vt:lpstr>
      <vt:lpstr>Financial Triggers_10</vt:lpstr>
      <vt:lpstr>_00393c6c_8d57_4177_9317_ad9777da6999</vt:lpstr>
      <vt:lpstr>_00ae92c5_c2d0_4ad2_876a_2b822f6cec23</vt:lpstr>
      <vt:lpstr>_00de7129_653b_4d69_830e_62f54dcfdb6c</vt:lpstr>
      <vt:lpstr>_013db90e_ff79_4e6d_a227_f1c5bfe2a8b2</vt:lpstr>
      <vt:lpstr>_020865d7_3c80_401c_b694_aef5cdf00cd1</vt:lpstr>
      <vt:lpstr>_042ce654_06c1_4167_a1e9_24169119e306</vt:lpstr>
      <vt:lpstr>_043e01fb_d017_40fb_88c5_3cfca2389a53</vt:lpstr>
      <vt:lpstr>_044b8821_e976_4be1_bf97_3243e6d2ae0e</vt:lpstr>
      <vt:lpstr>_04b2d560_412e_44de_ab55_9706d2370303</vt:lpstr>
      <vt:lpstr>_04c7f0c7_5556_4402_b3b7_baad02ff9c4b</vt:lpstr>
      <vt:lpstr>_052ec340_bf50_463c_99c1_853005770742</vt:lpstr>
      <vt:lpstr>_054f41e6_8a63_40d9_885d_633d6aba7e4b</vt:lpstr>
      <vt:lpstr>_055e1bed_26f5_4cad_bd36_a1ca2cd3a397</vt:lpstr>
      <vt:lpstr>_06ccafbb_536a_4251_90da_2c3a122a8ebd</vt:lpstr>
      <vt:lpstr>_073a3630_5d07_4123_818b_c78d2e57b54a</vt:lpstr>
      <vt:lpstr>_086d13e1_625e_4efb_85a0_69eeb3621f80</vt:lpstr>
      <vt:lpstr>_08fcfab9_6347_4f75_809d_0d5647b70b40</vt:lpstr>
      <vt:lpstr>_0943cb66_cbcd_4032_a004_abb78319ecbc</vt:lpstr>
      <vt:lpstr>_09a04d0e_a748_45bc_b123_289a1e7a9beb</vt:lpstr>
      <vt:lpstr>_0ac98eeb_96d2_4aa2_a766_803ab333aa38</vt:lpstr>
      <vt:lpstr>_0b143747_ef81_457c_9a6f_63232248d20f</vt:lpstr>
      <vt:lpstr>_0c34a225_b77a_4604_b753_5c322c38cfcc</vt:lpstr>
      <vt:lpstr>_0cd2b372_5397_4af7_8d5f_a0ad0b01942a</vt:lpstr>
      <vt:lpstr>_0e14162e_da6c_4526_83e0_a59265e5e7b7</vt:lpstr>
      <vt:lpstr>_0e36b323_79a7_4d8a_a902_2d6b800ee4d1</vt:lpstr>
      <vt:lpstr>_0f11e686_8b9d_428a_b5cf_e1469f97e018</vt:lpstr>
      <vt:lpstr>_0f4ae046_3d1e_4f53_bcd7_a375cb1b4810</vt:lpstr>
      <vt:lpstr>_0fe31f80_3bc5_4c17_9052_e1bffd2f705f</vt:lpstr>
      <vt:lpstr>_100ce52b_b666_4927_b750_4db18c820a29</vt:lpstr>
      <vt:lpstr>_10568f43_0617_4779_b005_c2110ef5d5eb</vt:lpstr>
      <vt:lpstr>_10e60d28_5830_4c8c_af9f_409fd1e77b22</vt:lpstr>
      <vt:lpstr>_10ede691_a7c5_40be_8a7a_1041515faf68</vt:lpstr>
      <vt:lpstr>_113bb73b_de08_469f_94a3_c7a433de3c91</vt:lpstr>
      <vt:lpstr>_119930c0_01ed_47e4_9c9f_42ad97c29583</vt:lpstr>
      <vt:lpstr>_130918f5_3863_4e1b_8039_96bc99cbfe64</vt:lpstr>
      <vt:lpstr>_1387ba05_1187_4e84_ac8a_8124d7cd2fd4</vt:lpstr>
      <vt:lpstr>_13dfa275_bbd0_40ad_a148_564b28bd98bf</vt:lpstr>
      <vt:lpstr>_1459108f_5271_4954_8daa_c1a161f6dacd</vt:lpstr>
      <vt:lpstr>_145a5628_580b_411d_98dd_5082ce47803f</vt:lpstr>
      <vt:lpstr>_14c42e70_d543_4438_b61a_7994442d4714</vt:lpstr>
      <vt:lpstr>_14f93dd7_4613_4b36_b70e_8b96edb69f9b</vt:lpstr>
      <vt:lpstr>_15d274d4_ab1e_4943_8157_30def03903f9</vt:lpstr>
      <vt:lpstr>_16ad6929_383e_4f1f_8987_192f281b29ab</vt:lpstr>
      <vt:lpstr>_16dcd257_a9f9_4e76_a66a_28db3694a9ff</vt:lpstr>
      <vt:lpstr>_1701acac_9651_4cbd_b961_8ee16c43c8fe</vt:lpstr>
      <vt:lpstr>_18802850_5b2b_4dab_b1c0_3548e784628d</vt:lpstr>
      <vt:lpstr>_1892798a_6092_4051_a14a_ce7e187d1059</vt:lpstr>
      <vt:lpstr>_1920be43_b5da_40bb_b266_1424bf262d00</vt:lpstr>
      <vt:lpstr>_196c782f_031e_436a_becc_d259bfe31210</vt:lpstr>
      <vt:lpstr>_19996227_bed9_4e7c_a847_63d89f91baaf</vt:lpstr>
      <vt:lpstr>_1a160a3f_f2b7_4676_a745_516ddc5a5da2</vt:lpstr>
      <vt:lpstr>_1a96baa2_f019_4b63_8d20_f154cf151bd6</vt:lpstr>
      <vt:lpstr>_1afae577_735f_4f21_ab13_e88a8cab8b8b</vt:lpstr>
      <vt:lpstr>_1bbcf195_5a32_4af0_8d08_943045d0223f</vt:lpstr>
      <vt:lpstr>_1bc20586_67b1_4c42_a17c_fc26f13a0240</vt:lpstr>
      <vt:lpstr>_1bd6c036_2829_4952_b68b_fa55884f1760</vt:lpstr>
      <vt:lpstr>_1bea1016_359f_41a7_8284_13cff42b3c6f</vt:lpstr>
      <vt:lpstr>_1befe063_b14c_4d4e_a4f0_c6c920429848</vt:lpstr>
      <vt:lpstr>_1cc8734c_54b1_4979_9b67_97078798e67f</vt:lpstr>
      <vt:lpstr>_1d280c19_5e23_4237_869a_5758b70b3417</vt:lpstr>
      <vt:lpstr>_1eade3bb_934c_4a06_b39b_22f8cd7db62e</vt:lpstr>
      <vt:lpstr>_1eaeb8c9_bb38_4a21_8744_4002b059dc7f</vt:lpstr>
      <vt:lpstr>_1ecfe9a3_e986_4fb6_a597_f87f5693a738</vt:lpstr>
      <vt:lpstr>_20983c61_c284_48d8_b87e_a9ac4854a3a4</vt:lpstr>
      <vt:lpstr>_2169bd94_e0fa_4d2a_8a98_4137526dafab</vt:lpstr>
      <vt:lpstr>_219fcf23_38c5_480b_92c2_55d84a3b972d</vt:lpstr>
      <vt:lpstr>_219ff17b_a9b9_4b3b_ad49_d9a27ad0d864</vt:lpstr>
      <vt:lpstr>_21a32645_bee5_4d79_ad0d_7ff57467cefb</vt:lpstr>
      <vt:lpstr>_21c46a8d_93da_46e0_a7a2_8fe24ceb4d39</vt:lpstr>
      <vt:lpstr>_2231cb92_7d38_49e4_9816_c1eed6bcae87</vt:lpstr>
      <vt:lpstr>_223bc551_7f38_45a4_a202_f4990a2ef7e6</vt:lpstr>
      <vt:lpstr>_225eb437_fd98_478e_acdb_e6decb5b26c0</vt:lpstr>
      <vt:lpstr>_22c84952_9caa_4452_a64a_c3af8c6876dc</vt:lpstr>
      <vt:lpstr>_2315f23c_93dc_4ce7_9c63_454e1f56dd1d</vt:lpstr>
      <vt:lpstr>_233637c6_24f9_45a5_af86_5a3487e51cc7</vt:lpstr>
      <vt:lpstr>_25911028_0f67_4723_8659_b5c924ca6e8a</vt:lpstr>
      <vt:lpstr>_25a3cd0b_6866_4ce2_bf22_b61872a77555</vt:lpstr>
      <vt:lpstr>_26f87514_931a_4d7a_af3c_a4a66c9f1e7b</vt:lpstr>
      <vt:lpstr>_27f4b9fe_7570_46d7_b168_a609c0229fa7</vt:lpstr>
      <vt:lpstr>_28629c3c_6465_4c01_aeec_8c404d525a96</vt:lpstr>
      <vt:lpstr>_28da5a53_81c6_4abc_977d_1a60698aee05</vt:lpstr>
      <vt:lpstr>_28db3868_fae6_469a_a1e9_a72c39a3a421</vt:lpstr>
      <vt:lpstr>_28f05f2c_a8e7_486c_a624_df3ab63f462e</vt:lpstr>
      <vt:lpstr>_292c06c9_ce35_492d_acd2_a7b81b0ac17e</vt:lpstr>
      <vt:lpstr>_2947641e_f93c_4d9b_b06c_5ccc98456ed8</vt:lpstr>
      <vt:lpstr>_2a830e2d_048e_4d7d_b5e8_9bf8e001d74e</vt:lpstr>
      <vt:lpstr>_2a8c7da7_7999_4023_9ca3_98d208e1a5c1</vt:lpstr>
      <vt:lpstr>_2bc6933d_04d2_4383_87a2_28ea612052e0</vt:lpstr>
      <vt:lpstr>_2d180e5b_a8dc_4d88_ac6d_ea7f6a4ddc2e</vt:lpstr>
      <vt:lpstr>_2d4ea633_1065_472f_9f03_05290b260d4b</vt:lpstr>
      <vt:lpstr>_2daa7e64_d40c_4d4a_975a_1f8d56f905d8</vt:lpstr>
      <vt:lpstr>_2de1d6dc_5d51_45ba_a57e_94fb61db207e</vt:lpstr>
      <vt:lpstr>_2e5e9857_4e10_4a56_973a_e59f4cde4437</vt:lpstr>
      <vt:lpstr>_2ef7ad1b_f502_4237_84e2_742814fefb9b</vt:lpstr>
      <vt:lpstr>_2f01cb3a_bd35_43f6_8a56_6c9ff15320bf</vt:lpstr>
      <vt:lpstr>_2fa6b032_e3aa_4261_b4fa_b1d1cb907517</vt:lpstr>
      <vt:lpstr>_30343b5b_c92d_4aa4_8ada_996a46d79bd8</vt:lpstr>
      <vt:lpstr>_308f36ed_3ec3_4b5e_a7ef_068e9efcfbfa</vt:lpstr>
      <vt:lpstr>_30fc9f06_7286_4af3_98b9_86ab7a47b10c</vt:lpstr>
      <vt:lpstr>_314909c1_7186_48e4_ba7c_6411a723e39e</vt:lpstr>
      <vt:lpstr>_321bdd85_502b_4183_bd1b_084e665c8158</vt:lpstr>
      <vt:lpstr>_321ef185_1761_46fd_b52e_0d229344eff4</vt:lpstr>
      <vt:lpstr>_32df6307_1ed0_420d_b88e_8dc735aeddd8</vt:lpstr>
      <vt:lpstr>_338b2845_6b5a_4d06_8aa4_bd4b04efa20c</vt:lpstr>
      <vt:lpstr>_33b8ce3b_2fd9_4b5f_bfcc_332f0c1fcdb5</vt:lpstr>
      <vt:lpstr>_33bfa495_fb7f_4857_83af_00e73a2bffff</vt:lpstr>
      <vt:lpstr>_33ec85e3_1d82_4661_af0c_de69c28064eb</vt:lpstr>
      <vt:lpstr>_34964a85_c5c7_49d6_b3c8_e09a85ac566c</vt:lpstr>
      <vt:lpstr>_34e80041_da16_4c7b_9e6e_de290a63a392</vt:lpstr>
      <vt:lpstr>_35f4702c_4bdb_49e0_afbd_86118ef8c3d4</vt:lpstr>
      <vt:lpstr>_36ca5e67_0a0c_4eec_ab76_2cb16c50db12</vt:lpstr>
      <vt:lpstr>_377e3cfe_4a94_4eeb_b5ff_dcfbf98c515c</vt:lpstr>
      <vt:lpstr>_377f46e6_f164_47aa_9586_9c66d127899d</vt:lpstr>
      <vt:lpstr>_37b06c3e_105e_4ca8_9415_8855f3bd5b22</vt:lpstr>
      <vt:lpstr>_37db1711_8738_45c6_9643_fb2871345063</vt:lpstr>
      <vt:lpstr>_3832589c_f9a7_4728_859c_d0417e3813dd</vt:lpstr>
      <vt:lpstr>_38d4a099_225a_4e24_9631_69f5e85de29b</vt:lpstr>
      <vt:lpstr>_396236b7_966e_4eb5_9f97_3c01d7538a3b</vt:lpstr>
      <vt:lpstr>_3a02ad2c_e6f6_4e6f_85e1_6ef9075011f3</vt:lpstr>
      <vt:lpstr>_3a76683f_d345_4c95_8282_5b5e21a22770</vt:lpstr>
      <vt:lpstr>_3aacb349_ecc9_4ae9_85b0_6066ef0bf52b</vt:lpstr>
      <vt:lpstr>_3ab3330c_cb0d_4fba_b19d_52bee4318bf8</vt:lpstr>
      <vt:lpstr>_3ad88ce5_1461_486f_ae0c_11869eafb3ce</vt:lpstr>
      <vt:lpstr>_3bf0c535_5ae3_4343_8684_0584859ef683</vt:lpstr>
      <vt:lpstr>_3c170bbf_05f9_4840_a645_d1b1e8cb4cf5</vt:lpstr>
      <vt:lpstr>_3caeb6c9_b0ca_41eb_a277_7ac32c045355</vt:lpstr>
      <vt:lpstr>_3ccd8da5_d802_43be_bf96_8cd3e3e2ea6d</vt:lpstr>
      <vt:lpstr>_3d3793be_1e63_4bdf_9b9e_39ce0b9e6cac</vt:lpstr>
      <vt:lpstr>_3e00c257_4141_4ab7_8332_40515322c73c</vt:lpstr>
      <vt:lpstr>_3e93aceb_0d50_4f6c_adf1_1b622b57f819</vt:lpstr>
      <vt:lpstr>_3ec0413f_896f_4c71_bf51_f8232da5a7f1</vt:lpstr>
      <vt:lpstr>_3f193f7e_7899_40e4_8d74_00739199c1aa</vt:lpstr>
      <vt:lpstr>_407abfb8_1ae8_49c0_aa37_e10f8d81755a</vt:lpstr>
      <vt:lpstr>_408bf7b7_ceb6_431f_b2bb_b34238526016</vt:lpstr>
      <vt:lpstr>_415987cd_23a8_4581_bfec_60b857e66c57</vt:lpstr>
      <vt:lpstr>_41c524ab_256a_461a_bf83_8de5fd5e08e6</vt:lpstr>
      <vt:lpstr>_41e30b64_79d1_498f_a7a5_962c910761f9</vt:lpstr>
      <vt:lpstr>_424ee8c5_eba0_475e_8ba9_3f82ba75ec3a</vt:lpstr>
      <vt:lpstr>_431bec30_9151_4575_ad35_63ae37a09dc9</vt:lpstr>
      <vt:lpstr>_45028af2_2d25_4b6f_988e_f482a26f6734</vt:lpstr>
      <vt:lpstr>_45eb9c53_c249_4d2a_a96a_0c5c02d7146e</vt:lpstr>
      <vt:lpstr>_460623a4_b184_46d6_915b_acfa35cd6d89</vt:lpstr>
      <vt:lpstr>_461e04ec_dba7_4056_9b90_03a3225274cd</vt:lpstr>
      <vt:lpstr>_465a1fab_530c_48d1_9b33_102e3fd3fa81</vt:lpstr>
      <vt:lpstr>_46f2d228_fc85_4810_a397_5be40b6fee67</vt:lpstr>
      <vt:lpstr>_4707885f_20f4_42ec_a075_05a190ee5fe0</vt:lpstr>
      <vt:lpstr>_47832571_541b_416c_9057_64568b517512</vt:lpstr>
      <vt:lpstr>_48ec914d_649a_4528_9a9c_240085790603</vt:lpstr>
      <vt:lpstr>_4a800aae_3447_45d9_9473_aa8691751a3a</vt:lpstr>
      <vt:lpstr>_4a93397f_3f34_40fe_ada7_481d6cf821ac</vt:lpstr>
      <vt:lpstr>_4b2d5491_5d79_4b63_b12a_d8361f65ed0b</vt:lpstr>
      <vt:lpstr>_4b40c56f_b116_4ee3_ab9c_552d2b9dbc32</vt:lpstr>
      <vt:lpstr>_4b86dce4_479c_41c6_bdd0_81dfaf4cda01</vt:lpstr>
      <vt:lpstr>_4c7a6e00_b677_4862_bc71_3154b071a4dd</vt:lpstr>
      <vt:lpstr>_4cfc71e4_86e0_4c0d_9cdf_8ecc78cdfab9</vt:lpstr>
      <vt:lpstr>_50ec6630_e2cf_43db_8ebd_50858b11dea8</vt:lpstr>
      <vt:lpstr>_514895ff_4e8b_44d9_9b3d_30a9ad058775</vt:lpstr>
      <vt:lpstr>_516f8add_7223_4c28_9de0_b227f1f60194</vt:lpstr>
      <vt:lpstr>_51dd4bc0_d63f_42af_81c9_b4b5bc566e27</vt:lpstr>
      <vt:lpstr>_527b259f_39c4_4e0c_8947_7603437a1298</vt:lpstr>
      <vt:lpstr>_536872f5_daee_4a8e_b4d3_6a37f5a235bb</vt:lpstr>
      <vt:lpstr>_554ce22a_9256_467d_8887_638cce27773c</vt:lpstr>
      <vt:lpstr>_55922287_1b12_4f88_b1dd_2618af26db4e</vt:lpstr>
      <vt:lpstr>_57005ff2_950a_4141_afce_488efdb62d9e</vt:lpstr>
      <vt:lpstr>_57b614ed_470d_4f1e_935b_7580de269c26</vt:lpstr>
      <vt:lpstr>_58564aa4_6b8c_428f_8b6c_cd83e30b71b2</vt:lpstr>
      <vt:lpstr>_590305a4_354d_455f_9c19_99f92989675f</vt:lpstr>
      <vt:lpstr>_59538c0f_b999_4a1b_9e7b_fc8d5f2f2f55</vt:lpstr>
      <vt:lpstr>_59993101_1a93_478b_b911_20339e33c237</vt:lpstr>
      <vt:lpstr>_5a566617_e436_4ccf_8032_ee1684b298e0</vt:lpstr>
      <vt:lpstr>_5c2ff31a_29af_4328_9104_e38397cdb12e</vt:lpstr>
      <vt:lpstr>_5c334e0e_1e9e_4965_86b0_bbb76a123743</vt:lpstr>
      <vt:lpstr>_5c3516a7_3509_4aa7_8a95_f1e36fa9a6c8</vt:lpstr>
      <vt:lpstr>_5cd269ef_7142_49d6_add4_368f9ad6b959</vt:lpstr>
      <vt:lpstr>_5cf5a7ab_2350_4736_a5a5_9cc20a252c37</vt:lpstr>
      <vt:lpstr>_5de049d7_9d7f_4453_b2a9_101960421044</vt:lpstr>
      <vt:lpstr>_5f39f37e_37ef_4645_ac33_01c550adf845</vt:lpstr>
      <vt:lpstr>_5f593289_c434_4e8d_aedf_fcff8dcf0a26</vt:lpstr>
      <vt:lpstr>_612a8454_daa2_47ac_83df_0d63ca099dec</vt:lpstr>
      <vt:lpstr>_617c1394_a80f_40b3_a447_1517c8b3f8d1</vt:lpstr>
      <vt:lpstr>_61b7089d_7d22_4c6a_83f1_4ebdc760aa84</vt:lpstr>
      <vt:lpstr>_61d810cd_f475_4657_8672_67b134ead424</vt:lpstr>
      <vt:lpstr>_62536a1f_c77c_4128_9432_944e212f234b</vt:lpstr>
      <vt:lpstr>_636539b4_860a_40a9_a004_a3d2b42cf4c1</vt:lpstr>
      <vt:lpstr>_63d0d962_36e9_404a_b617_9eca72792350</vt:lpstr>
      <vt:lpstr>_63de3c2d_d128_46c7_964c_bece57bac3e4</vt:lpstr>
      <vt:lpstr>_641c4a96_d4d7_40e2_8001_e4a0f85a9ef1</vt:lpstr>
      <vt:lpstr>_6490776e_8a59_4f9c_92d0_73d81e582ea1</vt:lpstr>
      <vt:lpstr>_6519bc76_1f53_4831_8bf7_f83ce72228d9</vt:lpstr>
      <vt:lpstr>_666989ec_79a0_4714_9945_3adcb1bef0aa</vt:lpstr>
      <vt:lpstr>_67005cbe_e8cc_4369_99b0_8a6074c50da7</vt:lpstr>
      <vt:lpstr>_675ab760_530f_4636_bdcf_cba3a2a390a7</vt:lpstr>
      <vt:lpstr>_678488b4_802c_4c72_9833_80839f2b9ed7</vt:lpstr>
      <vt:lpstr>_68b1346b_0b92_4c45_ba58_6a7d2169c54e</vt:lpstr>
      <vt:lpstr>_69981a7a_2094_458c_b681_399a8ac603bc</vt:lpstr>
      <vt:lpstr>_699ade08_f386_4f9b_a8c4_96d80c4d208f</vt:lpstr>
      <vt:lpstr>_6a5e943e_e255_4488_8f24_ec0cb647c321</vt:lpstr>
      <vt:lpstr>_6af25c57_be17_4a7d_a985_4c222f3c9c88</vt:lpstr>
      <vt:lpstr>_6b398e43_e08e_4385_96a1_120177eec057</vt:lpstr>
      <vt:lpstr>_6b5004b6_2200_4372_84df_4c730adf8091</vt:lpstr>
      <vt:lpstr>_6c57a552_06ab_4006_a031_02394826f1d4</vt:lpstr>
      <vt:lpstr>_6d168ce9_a1d2_4699_adea_5ae5beaa103c</vt:lpstr>
      <vt:lpstr>_6d7106e7_da89_4674_b333_4882a2c9b2b1</vt:lpstr>
      <vt:lpstr>_6d9f3fdf_2744_4471_927e_45b666990c15</vt:lpstr>
      <vt:lpstr>_6eb3b115_6a25_4c98_a69e_0ff4615eadfb</vt:lpstr>
      <vt:lpstr>_6f97f01f_4bc3_4136_b63b_d6ae4c54bafa</vt:lpstr>
      <vt:lpstr>_6fa1f59d_055e_46ae_b56e_09c97c3c2fea</vt:lpstr>
      <vt:lpstr>_709114c1_2213_4fc4_b5c6_058cfbd327df</vt:lpstr>
      <vt:lpstr>_70a4dfcc_263c_427c_8385_8e1ff001bfaa</vt:lpstr>
      <vt:lpstr>_70cb3929_4b10_4040_9c22_c3754c9672f7</vt:lpstr>
      <vt:lpstr>_70f6aa21_d242_4b8d_990d_5abb59ff3285</vt:lpstr>
      <vt:lpstr>_72c449e3_f244_4e2e_8a6d_6c6cbfd98f45</vt:lpstr>
      <vt:lpstr>_73272afa_f4ea_4501_be5a_0ba20efa776f</vt:lpstr>
      <vt:lpstr>_736e1e6c_0c52_4d1c_8f60_d7988557b754</vt:lpstr>
      <vt:lpstr>_748d3a5d_9446_4c7e_9a25_6c77cbd45a47</vt:lpstr>
      <vt:lpstr>_749a368e_b003_46f6_bce5_283c956630a1</vt:lpstr>
      <vt:lpstr>_75512f83_8f24_4459_ad69_19ce2f62fb94</vt:lpstr>
      <vt:lpstr>_758a5839_c252_4db3_aede_66e9ffa48fa1</vt:lpstr>
      <vt:lpstr>_75e4f523_fc4e_408b_bf34_2a3255e2c420</vt:lpstr>
      <vt:lpstr>_7698e521_b7e7_4967_8491_cdb70da1e187</vt:lpstr>
      <vt:lpstr>_769ed643_4fd1_466e_b30b_7a7748b36016</vt:lpstr>
      <vt:lpstr>_76ae2b12_c624_4f16_85f3_4071c3059180</vt:lpstr>
      <vt:lpstr>_78148f48_50a8_428a_be72_0fc330c70c7f</vt:lpstr>
      <vt:lpstr>_790ca257_b17b_4838_bbaa_36a9033dae98</vt:lpstr>
      <vt:lpstr>_7929ede1_eecb_40d0_a808_6842339b9b86</vt:lpstr>
      <vt:lpstr>_79607036_1c4b_46dc_98a2_0f5979da3fa8</vt:lpstr>
      <vt:lpstr>_7a8028f8_4b30_4728_b94d_884656fc0319</vt:lpstr>
      <vt:lpstr>_7ad1e768_db76_49b8_a946_8d89cf7470de</vt:lpstr>
      <vt:lpstr>_7ae038b4_1c29_42ca_83fa_657d1f5d5870</vt:lpstr>
      <vt:lpstr>_7b393259_6548_48dd_8839_62d2c4dfded4</vt:lpstr>
      <vt:lpstr>_7b6be502_bf3e_408e_a2d2_798841dd96dc</vt:lpstr>
      <vt:lpstr>_7b89e4e6_0344_44eb_92e7_8bc3efa8a949</vt:lpstr>
      <vt:lpstr>_7c652366_7c7b_454d_9a77_d85b2ab0e7cc</vt:lpstr>
      <vt:lpstr>_7c7e16cc_6ce9_4025_b599_86aad417bb87</vt:lpstr>
      <vt:lpstr>_7d5805b9_04de_45ec_ad2f_4a4de01c1a8a</vt:lpstr>
      <vt:lpstr>_7dbeb4e3_7cb9_4ecf_a0c8_036ad7d04344</vt:lpstr>
      <vt:lpstr>_7dc1f2e5_6eb6_496d_ae61_7dd2537468fc</vt:lpstr>
      <vt:lpstr>_7dcc54eb_edac_4b3d_824b_70d4d90e2ae4</vt:lpstr>
      <vt:lpstr>_80b2c634_703e_40c4_88fb_6d5b1ddd597f</vt:lpstr>
      <vt:lpstr>_817f9e6c_ce9d_4260_aeaa_08df00e46b0c</vt:lpstr>
      <vt:lpstr>_81f030a8_0abe_44db_866b_fa9722f775f6</vt:lpstr>
      <vt:lpstr>_821ac24a_565b_42ef_8952_c8b86aeeb553</vt:lpstr>
      <vt:lpstr>_828fcacc_c0ce_498a_854e_cff6be44a7e7</vt:lpstr>
      <vt:lpstr>_82daa8e0_d4cc_4fea_90e8_8c2ed1ce7fa6</vt:lpstr>
      <vt:lpstr>_84023e98_8f2a_4bbc_b75d_d7ba0807f700</vt:lpstr>
      <vt:lpstr>_843905fe_c8ec_4f4f_b0ab_8695f5c2a0e3</vt:lpstr>
      <vt:lpstr>_85941f29_7d58_4bd7_be53_366d6a653d25</vt:lpstr>
      <vt:lpstr>_85eeb1e8_72c1_4b49_82a8_09395964fb28</vt:lpstr>
      <vt:lpstr>_86120cd2_c87e_442b_bc1c_570556855fad</vt:lpstr>
      <vt:lpstr>_86338234_e740_41b9_8435_a748146e4c75</vt:lpstr>
      <vt:lpstr>_86f75f42_c314_4da4_a58a_c92098769a3a</vt:lpstr>
      <vt:lpstr>_8767fd0c_a534_4edd_8c61_b63663bd2d64</vt:lpstr>
      <vt:lpstr>_897815d1_a446_41b7_9de9_93fa23336a81</vt:lpstr>
      <vt:lpstr>_8c02e64b_da79_47a4_bfca_697124eaed5f</vt:lpstr>
      <vt:lpstr>_8c7e539e_f1c9_4602_9453_b5242ed3986a</vt:lpstr>
      <vt:lpstr>_8d19df97_332b_4eb0_b244_dc33441e0ea5</vt:lpstr>
      <vt:lpstr>_8d98b92c_14c3_4984_81c1_ee7af34df5e8</vt:lpstr>
      <vt:lpstr>_8e332663_c8f1_4e93_bd55_66589a27623a</vt:lpstr>
      <vt:lpstr>_8e75ea13_3e01_4498_975d_7da89c2b8d44</vt:lpstr>
      <vt:lpstr>_8f1e09bc_b5b2_4886_89cb_dbb0c418f286</vt:lpstr>
      <vt:lpstr>_8f2e63e1_9ca3_4deb_88e1_4210a017aecb</vt:lpstr>
      <vt:lpstr>_9009aeb2_3a8c_475d_a8d7_4476fd58d031</vt:lpstr>
      <vt:lpstr>_905b37a9_75a9_4dc7_bbb7_5fe9d79b83ba</vt:lpstr>
      <vt:lpstr>_91cd3777_db5e_4104_944b_efd6b99cf537</vt:lpstr>
      <vt:lpstr>_91d39eae_60d7_4baf_94ce_36f0e5bd8a25</vt:lpstr>
      <vt:lpstr>_92414b91_9955_428d_bf1e_078978840377</vt:lpstr>
      <vt:lpstr>_92be6f34_d8e8_493f_b967_4d804c3f7f94</vt:lpstr>
      <vt:lpstr>_9363a3c5_852b_485d_b237_7b0e753689bf</vt:lpstr>
      <vt:lpstr>_93d522ee_1954_4576_9f10_ef534c181632</vt:lpstr>
      <vt:lpstr>_9428f9f8_75e4_4e3c_8fb4_af8c020c93c4</vt:lpstr>
      <vt:lpstr>_94f02acd_45a1_4d57_9c86_171c94224b6b</vt:lpstr>
      <vt:lpstr>_955abfbb_04b4_4f91_bc70_0638e717b29d</vt:lpstr>
      <vt:lpstr>_960c0f0f_3ed9_43e3_b364_f280a5374eb5</vt:lpstr>
      <vt:lpstr>_9614e773_c9e5_4a65_98fe_8330035c9b60</vt:lpstr>
      <vt:lpstr>_96c51cca_df85_4b74_ba46_cad1bf1d8ff7</vt:lpstr>
      <vt:lpstr>_96e64bb3_a56a_457f_a669_ab515fdb35e2</vt:lpstr>
      <vt:lpstr>_9791e5d5_2a27_41de_b4ba_9353d2f28e84</vt:lpstr>
      <vt:lpstr>_97a54aac_5608_4a3c_82a2_8aa7d06eadfb</vt:lpstr>
      <vt:lpstr>_989c2827_c14c_41f9_a684_78dea225fefe</vt:lpstr>
      <vt:lpstr>_98c17fc0_7b46_4570_a906_87733aff66d1</vt:lpstr>
      <vt:lpstr>_98cfcffe_1aff_4635_a40c_40b2bc2077cf</vt:lpstr>
      <vt:lpstr>_98f0ce9e_27b8_452b_beed_a820634b68b6</vt:lpstr>
      <vt:lpstr>_999ca3c3_e3bb_41b8_9cf1_e3fc9b914b24</vt:lpstr>
      <vt:lpstr>_99a7e594_f9cd_40b7_8b51_07b7b2d24feb</vt:lpstr>
      <vt:lpstr>_9b3e0f2f_1d05_4460_8022_47cf311f932d</vt:lpstr>
      <vt:lpstr>_9b87da26_3966_4d06_8d69_572350087570</vt:lpstr>
      <vt:lpstr>_9c306ac7_2fa5_4c9e_968d_62f9c3592a55</vt:lpstr>
      <vt:lpstr>_9c5b7007_4f7c_4499_b8e2_5a3485dc7840</vt:lpstr>
      <vt:lpstr>_9d7d1ef8_2660_4434_ac14_3fee7d5f54c4</vt:lpstr>
      <vt:lpstr>_9e794b44_3863_4a9f_b89a_49b9635b561d</vt:lpstr>
      <vt:lpstr>_9f084c9d_f9b2_422a_bdc7_78e27b1a160f</vt:lpstr>
      <vt:lpstr>_9fe2e788_357f_47dd_b7d6_5c45c33dfa98</vt:lpstr>
      <vt:lpstr>_a0b622c9_98b2_4630_9ed3_15d234bf7cef</vt:lpstr>
      <vt:lpstr>_a0e5c2bb_ab6b_45a7_9cfa_8d7b3be40060</vt:lpstr>
      <vt:lpstr>_a0e6ac39_9c8f_4345_bde2_1b7066b4fc97</vt:lpstr>
      <vt:lpstr>_a152f39c_0299_474a_83bb_d664943edf00</vt:lpstr>
      <vt:lpstr>_a3a32659_6aa3_44f1_b745_140172150b4f</vt:lpstr>
      <vt:lpstr>_a3c03fcc_8cdf_4603_b8f2_ddf9dc839170</vt:lpstr>
      <vt:lpstr>_a487d099_ebf5_4e80_a3ac_0320b5cc601e</vt:lpstr>
      <vt:lpstr>_a4bcdea1_6c46_4e16_bf84_e701dcf2de7f</vt:lpstr>
      <vt:lpstr>_a4e47151_1e06_4f46_9020_1dfb6efab6d5</vt:lpstr>
      <vt:lpstr>_a50fa4bf_a65b_4051_ab46_bd13a09c13f1</vt:lpstr>
      <vt:lpstr>_a53ab4d5_dde0_4363_b9ba_0b32c4bc44f8</vt:lpstr>
      <vt:lpstr>_a63a5afa_9c82_49af_bc8d_b9958c601886</vt:lpstr>
      <vt:lpstr>_a7096e49_274f_4c7e_a441_aee265d13f2c</vt:lpstr>
      <vt:lpstr>_a8491438_4c6d_4ec1_8b27_5f76cd531b3b</vt:lpstr>
      <vt:lpstr>_a8f5594e_eb9b_4e9f_a7c7_5edbcbdca844</vt:lpstr>
      <vt:lpstr>_a9ccc8f1_8724_4060_96e9_a502de45e80f</vt:lpstr>
      <vt:lpstr>_aa0326f5_9d2c_4ee6_960a_7993513a04d7</vt:lpstr>
      <vt:lpstr>_aa5ead3e_557d_4910_a49c_ae684c1815ac</vt:lpstr>
      <vt:lpstr>_aabb928f_a3e7_4ff6_8913_314ead19223b</vt:lpstr>
      <vt:lpstr>_aacf09a1_19e2_4d83_8bc5_b600e9d2e175</vt:lpstr>
      <vt:lpstr>_ab9e4a0a_8343_4ca2_991d_3feab59553b9</vt:lpstr>
      <vt:lpstr>_abff7f96_628b_4f2d_b93c_92e3608da5bf</vt:lpstr>
      <vt:lpstr>_ac9005bd_9205_4261_9cb0_d99c2c1f84d3</vt:lpstr>
      <vt:lpstr>_ad31191b_1bcc_4426_8a4a_22beb2bacf3e</vt:lpstr>
      <vt:lpstr>_ae6e512b_3d95_422b_a798_3e57d4839693</vt:lpstr>
      <vt:lpstr>_aead412b_8254_41c2_8088_9961653408c7</vt:lpstr>
      <vt:lpstr>_aeee331d_30f2_43a3_bc5e_667269ffa690</vt:lpstr>
      <vt:lpstr>_aef8f1fd_5698_4092_9f72_25edc8264d8f</vt:lpstr>
      <vt:lpstr>_afc232cf_c169_4be7_b0a3_1e865da48842</vt:lpstr>
      <vt:lpstr>_b125e86e_9d66_4365_850e_c6fcb87c9db9</vt:lpstr>
      <vt:lpstr>_b186ff72_d27c_4574_9db4_ca7e741ae8fd</vt:lpstr>
      <vt:lpstr>_b1bd3437_f548_46c9_a743_a7c0ae1110ea</vt:lpstr>
      <vt:lpstr>_b1e78b22_ad2a_40fe_8a4b_20590db644a8</vt:lpstr>
      <vt:lpstr>_b2430fc4_c651_4ab6_8cfc_33f42945100b</vt:lpstr>
      <vt:lpstr>_b2b126a7_37a8_4970_b2b4_da841f576d0b</vt:lpstr>
      <vt:lpstr>_b3402e96_ad7f_4f9e_abba_7219e3e7f169</vt:lpstr>
      <vt:lpstr>_b3c06770_56af_48f0_b86d_700901b7ef8e</vt:lpstr>
      <vt:lpstr>_b42cef75_de51_4350_b638_2f07adb11308</vt:lpstr>
      <vt:lpstr>_b44e8b63_af98_411f_94c0_2ef69a3cbf9c</vt:lpstr>
      <vt:lpstr>_b4666379_0acb_4d72_8cb2_d396f19f20fb</vt:lpstr>
      <vt:lpstr>_b469d84c_52e5_4a92_80e2_49eaccc7c9d8</vt:lpstr>
      <vt:lpstr>_b4a2f630_f255_4664_8c2b_7947332e436a</vt:lpstr>
      <vt:lpstr>_b59cdd47_5a03_418a_a423_467413d9ca30</vt:lpstr>
      <vt:lpstr>_b6114804_a017_46d0_9f40_23ddfb7f05e2</vt:lpstr>
      <vt:lpstr>_b6b54932_bbc2_49d5_aaf8_e808d8b9cd49</vt:lpstr>
      <vt:lpstr>_b76185d1_9a98_4f6b_85a8_601864a44afc</vt:lpstr>
      <vt:lpstr>_b7aa4414_545a_47a0_9ab1_97f12b5643c8</vt:lpstr>
      <vt:lpstr>_b82ba3a9_c40d_4b22_8394_822d445f79b0</vt:lpstr>
      <vt:lpstr>_ba289966_f8e1_4c44_9e87_499ccb8fdf22</vt:lpstr>
      <vt:lpstr>_ba5ae70c_90ea_458f_8bfb_fb96038936c1</vt:lpstr>
      <vt:lpstr>_bb2b664c_d994_4da7_9913_b0f0638e6f07</vt:lpstr>
      <vt:lpstr>_bb78ca4d_3bdb_4902_91ad_351d3aaf25d7</vt:lpstr>
      <vt:lpstr>_bcdb1279_07d1_4285_97f0_798754ffbfa3</vt:lpstr>
      <vt:lpstr>_bd0083e1_f86a_4f04_9e49_0e115045f089</vt:lpstr>
      <vt:lpstr>_bf8c45d7_5526_406e_acc6_43ad293f5dc3</vt:lpstr>
      <vt:lpstr>_bfca0c3b_63d2_403b_8c24_9e68e1b816f3</vt:lpstr>
      <vt:lpstr>_c0012965_1bb8_4721_88e9_cf24fe38dc4b</vt:lpstr>
      <vt:lpstr>_c02cc35b_42a3_48a4_8353_37680357616a</vt:lpstr>
      <vt:lpstr>_c09a840c_dd8d_4c5b_8af2_cf513d16b38b</vt:lpstr>
      <vt:lpstr>_c0e49844_e8e9_46b7_8dd6_d1ce51cd99dc</vt:lpstr>
      <vt:lpstr>_c12be6ab_2ea0_4379_96d1_4ce4d00f81c5</vt:lpstr>
      <vt:lpstr>_c16326e7_890b_4dc5_a434_82c1232a5011</vt:lpstr>
      <vt:lpstr>_c17a838e_326f_48c5_aefb_9da20f8fb171</vt:lpstr>
      <vt:lpstr>_c2b697b8_3018_463b_b36a_25a1ed68b353</vt:lpstr>
      <vt:lpstr>_c2c7d249_8392_4a87_b980_0f7dc06d0315</vt:lpstr>
      <vt:lpstr>_c2e81fb1_9280_44b9_a71b_89150648439b</vt:lpstr>
      <vt:lpstr>_c33dda3f_cea6_4dab_9d53_2eaafd157ffd</vt:lpstr>
      <vt:lpstr>_c374b739_a6e3_48f1_9566_cd3f880774d2</vt:lpstr>
      <vt:lpstr>_c3bd0cf9_281c_40da_94a3_1d32582a58f0</vt:lpstr>
      <vt:lpstr>_c49e9f3d_7c20_4b0f_bdf1_63ce7fca48c7</vt:lpstr>
      <vt:lpstr>_c4c2e611_e730_424f_8c55_c695aa4e2efc</vt:lpstr>
      <vt:lpstr>_c52c03a8_957d_4edc_b38e_fe8ab92e8528</vt:lpstr>
      <vt:lpstr>_c5a0b4ef_fe00_4861_a8ed_bb6df4e2f705</vt:lpstr>
      <vt:lpstr>_c5c1f3c5_5a49_4c11_a771_a5f1d4118da5</vt:lpstr>
      <vt:lpstr>_c5fd0628_2313_4844_af68_24412f7cf2ec</vt:lpstr>
      <vt:lpstr>_c644c6fc_187d_410c_abff_0bd5233a8adc</vt:lpstr>
      <vt:lpstr>_c680f865_62ed_4a30_a3bb_65c5409134be</vt:lpstr>
      <vt:lpstr>_c7551a23_eb91_4b92_9af0_4e85592dd5bc</vt:lpstr>
      <vt:lpstr>_c787154a_bcf4_4ffb_8f18_8626129c6542</vt:lpstr>
      <vt:lpstr>_c8a2fc92_1f23_452f_974e_b4c265d31398</vt:lpstr>
      <vt:lpstr>_c8ccf522_4366_402c_a664_dfc6a62c4789</vt:lpstr>
      <vt:lpstr>_c910d59c_d65b_4734_a446_34d376d19362</vt:lpstr>
      <vt:lpstr>_c9f5d224_bd1a_4fab_9418_475f26f8f021</vt:lpstr>
      <vt:lpstr>_ca34193e_b3e6_4206_a41e_c8c0fc031558</vt:lpstr>
      <vt:lpstr>_cab8fd3f_d979_4288_8f5b_e1f5abd1a54d</vt:lpstr>
      <vt:lpstr>_cb7a19fc_1521_4a26_8da3_ece688a554e5</vt:lpstr>
      <vt:lpstr>_cbe0c0f8_d83c_4ce2_9bc7_b033aea9febb</vt:lpstr>
      <vt:lpstr>_cc8b74af_27ca_4459_b6a4_3b6da646273f</vt:lpstr>
      <vt:lpstr>_cc94d5e0_095e_4b91_8e8f_72c95a0fe8a8</vt:lpstr>
      <vt:lpstr>_cd2221fa_067a_4cd3_a398_6637140a5d9d</vt:lpstr>
      <vt:lpstr>_cd441392_f5ef_408f_b075_cc614f229c7d</vt:lpstr>
      <vt:lpstr>_cd7b0ad9_e083_4350_9e50_25d037cfcd92</vt:lpstr>
      <vt:lpstr>_cf675f06_4970_47da_aa96_00ac87d6b9f7</vt:lpstr>
      <vt:lpstr>_cf7e5a4a_7a81_4f53_8acd_1e08bb06f384</vt:lpstr>
      <vt:lpstr>_cf863922_f2f3_4b1f_bfb7_030b876e6879</vt:lpstr>
      <vt:lpstr>_d09d69e0_6d5c_4718_b05b_3d1ea01d83ae</vt:lpstr>
      <vt:lpstr>_d0decdca_4da7_4fd7_86f3_75ec17c29021</vt:lpstr>
      <vt:lpstr>_d12c0697_d96a_4c32_b86a_d840fdef3152</vt:lpstr>
      <vt:lpstr>_d28ae8c7_abc9_403d_acff_ffeb46d36899</vt:lpstr>
      <vt:lpstr>_d2c412b5_e4e7_463b_901a_e8dbe0cec1a0</vt:lpstr>
      <vt:lpstr>_d33476ff_0cf1_4ba5_b99c_0d8a7960f349</vt:lpstr>
      <vt:lpstr>_d5095cc9_6836_45ad_bb4d_ce18a01f0d5e</vt:lpstr>
      <vt:lpstr>_d67820e9_5f56_46a6_a69a_c7147c0ff654</vt:lpstr>
      <vt:lpstr>_d6f12d73_3320_47a5_869c_2e298dd5ecdc</vt:lpstr>
      <vt:lpstr>_d7a433d0_8e0d_4af6_82eb_27275edd6418</vt:lpstr>
      <vt:lpstr>_d87dead1_55cd_4083_8471_a277a97bcdc1</vt:lpstr>
      <vt:lpstr>_d9af3e01_f905_4ca5_a911_0d8bc32fe491</vt:lpstr>
      <vt:lpstr>_db07c652_41f2_4da1_a2a0_dd858261767c</vt:lpstr>
      <vt:lpstr>_dbc2c0d8_ab82_4868_b277_e9b1acd9fc22</vt:lpstr>
      <vt:lpstr>_dbf20ee0_5f2c_44c2_afab_54cc7a7ae1d3</vt:lpstr>
      <vt:lpstr>_dc3802bd_0bcc_48e8_a56e_7e001b60fb1f</vt:lpstr>
      <vt:lpstr>_dca21445_e3d5_45ff_8329_04ded9c92a4b</vt:lpstr>
      <vt:lpstr>_dec07dcc_68bb_469c_b6be_7a80b61914fa</vt:lpstr>
      <vt:lpstr>_decf8602_3e8a_4efc_a645_28cb6031b3f3</vt:lpstr>
      <vt:lpstr>_df563686_de97_481c_91a5_78e1a29a5b49</vt:lpstr>
      <vt:lpstr>_e03b2f22_4001_4501_a7d0_772383f2b72c</vt:lpstr>
      <vt:lpstr>_e0a760bf_2233_4bad_a3e7_062b2675cb32</vt:lpstr>
      <vt:lpstr>_e0d9307a_84d9_4e0a_9c20_075beac2a139</vt:lpstr>
      <vt:lpstr>_e1c93540_776b_480a_962b_51995b1d5eb4</vt:lpstr>
      <vt:lpstr>_e1cb609f_9ec8_423d_8cb8_d31f085d4cc6</vt:lpstr>
      <vt:lpstr>_e1efe092_89f5_47d1_a527_10833d17aa03</vt:lpstr>
      <vt:lpstr>_e37d662f_a375_40cf_8b01_58ac76092579</vt:lpstr>
      <vt:lpstr>_e3831145_f31a_4300_8ca4_d98e9c642781</vt:lpstr>
      <vt:lpstr>_e4ead8b7_e992_4757_9755_d6bcdaff8860</vt:lpstr>
      <vt:lpstr>_e5421638_a6b5_438d_94fc_652485dab62d</vt:lpstr>
      <vt:lpstr>_e55c55ea_7bf4_4b0c_bee1_971627d94916</vt:lpstr>
      <vt:lpstr>_e57f8791_77dd_4dd6_bffb_f438ed140b57</vt:lpstr>
      <vt:lpstr>_e5dede5d_1b8b_4631_a00e_4033e58d5539</vt:lpstr>
      <vt:lpstr>_e627e6e9_51c3_49b6_bde7_4be4a845656f</vt:lpstr>
      <vt:lpstr>_e6be31ca_aade_422c_8414_ad7528dd2181</vt:lpstr>
      <vt:lpstr>_e7acf3a1_32c0_4352_b059_9ce4059d552b</vt:lpstr>
      <vt:lpstr>_e831f4d4_15cb_405c_b63a_03eeb71b7c8b</vt:lpstr>
      <vt:lpstr>_e896b249_4600_4a32_8d14_52dedf1c7052</vt:lpstr>
      <vt:lpstr>_ea3792b9_7f77_48b9_ab7d_7df856689769</vt:lpstr>
      <vt:lpstr>_ea4b76b5_ac83_4728_8487_c82060bfdd1c</vt:lpstr>
      <vt:lpstr>_ea657bbf_b925_4d2b_ad55_df3fbf460274</vt:lpstr>
      <vt:lpstr>_ea758705_9d8a_4de1_8f9d_57718ffded68</vt:lpstr>
      <vt:lpstr>_eaa41347_ca8c_4d22_825e_1f54d6969a99</vt:lpstr>
      <vt:lpstr>_eccb8966_8b0e_43c3_ac15_fb989c1b17cc</vt:lpstr>
      <vt:lpstr>_ee3953a0_0762_4f4b_9414_c2e68ae1e508</vt:lpstr>
      <vt:lpstr>_ef7b0cd0_df14_41c4_8987_1bd54c07b400</vt:lpstr>
      <vt:lpstr>_f046dd6b_b221_4448_a441_9fbab923981b</vt:lpstr>
      <vt:lpstr>_f19d3db5_6803_4c52_a7f3_f12bb423520f</vt:lpstr>
      <vt:lpstr>_f1b2c2b2_5034_4fb9_8c0d_1dd46458948d</vt:lpstr>
      <vt:lpstr>_f294efd2_f9ec_434f_ba05_11b96801a2f6</vt:lpstr>
      <vt:lpstr>_f3121d9e_1ff6_4055_831d_a6c005ae7be8</vt:lpstr>
      <vt:lpstr>_f41cfc95_8dd6_409d_95ae_e4643b781662</vt:lpstr>
      <vt:lpstr>_f49e361d_0ff0_4276_985a_acd52db231bd</vt:lpstr>
      <vt:lpstr>_f57307f2_e947_4578_a151_2a24e2f91d68</vt:lpstr>
      <vt:lpstr>_f57a8230_8610_4d8b_9216_9ca95c567302</vt:lpstr>
      <vt:lpstr>_f752cab7_c767_4cdd_b7e6_2ae82cd100c8</vt:lpstr>
      <vt:lpstr>_f772748a_d651_42c2_a5ac_fb9059fad47f</vt:lpstr>
      <vt:lpstr>_f7772449_e71e_45a0_946f_3bbdb0779516</vt:lpstr>
      <vt:lpstr>_f77f33f2_e290_4e7b_ba4e_db8392ec2976</vt:lpstr>
      <vt:lpstr>_f7e17039_2166_4d2d_9342_c6aa02461662</vt:lpstr>
      <vt:lpstr>_f7e1854d_7269_4cb6_a133_fe1a7c81f891</vt:lpstr>
      <vt:lpstr>_f85c19e7_350e_45c4_8500_6a24417e8f8f</vt:lpstr>
      <vt:lpstr>_f8df3b89_cad3_483f_b0d8_771b6cb277fa</vt:lpstr>
      <vt:lpstr>_f9087935_d4f9_4e9d_a597_8a84999668d4</vt:lpstr>
      <vt:lpstr>_fa319343_7ec9_4ddd_b576_c3984e87967d</vt:lpstr>
      <vt:lpstr>_fa526e39_564b_4569_b4fd_db1bac068866</vt:lpstr>
      <vt:lpstr>_fb234f58_3c7d_4b54_a3f3_f6a012864e61</vt:lpstr>
      <vt:lpstr>_fb355c7f_9415_4b1f_ba3e_3c63aa6ca91d</vt:lpstr>
      <vt:lpstr>_fb691d96_11a4_4b60_af9b_f044e0536104</vt:lpstr>
      <vt:lpstr>_fdebf3c0_91c2_4d39_bfdd_5fd9c5709d53</vt:lpstr>
      <vt:lpstr>_fe298dd5_3965_40b3_b7a7_67f87680a6a4</vt:lpstr>
      <vt:lpstr>_fe88ddaa_0ce8_4771_a7cd_8d9fb692d556</vt:lpstr>
      <vt:lpstr>_fee4b8f2_7f91_4a7d_848b_c517cadfc4ec</vt:lpstr>
      <vt:lpstr>_fefe4dfc_68c7_4b1b_bb8b_a7e06305fa21</vt:lpstr>
      <vt:lpstr>AIM_Budget_Variance__c.AIM_Description__c</vt:lpstr>
      <vt:lpstr>AIM_Coverage_Disaggregation__c.AIM_Year__c</vt:lpstr>
      <vt:lpstr>AIM_Coverage_Disaggregation_Result__c.AIM_LFA_Source__c</vt:lpstr>
      <vt:lpstr>AIM_Coverage_Disaggregation_Result__c.AIM_Source_PR__c</vt:lpstr>
      <vt:lpstr>AIM_Coverage_Indicator__c.AIM_Cumulation_Type__c</vt:lpstr>
      <vt:lpstr>AIM_Coverage_Indicator__c.AIM_Geographic_Coverage__c</vt:lpstr>
      <vt:lpstr>AIM_Coverage_Indicator__c.AIM_Year__c</vt:lpstr>
      <vt:lpstr>AIM_Coverage_Indicator_Targets_Results__c.AIM_Data_Source_Result_LFA__c</vt:lpstr>
      <vt:lpstr>AIM_Coverage_Indicator_Targets_Results__c.AIM_Data_Source_Result_PR__c</vt:lpstr>
      <vt:lpstr>AIM_Coverage_Indicator_Targets_Results__c.AIM_Due_for_Reporting__c</vt:lpstr>
      <vt:lpstr>AIM_Coverage_Indicator_Targets_Results__c.AIM_Verification_Method_LFA__c</vt:lpstr>
      <vt:lpstr>AIM_Grant_Requirement__c.AIM_Functional_Areas__c</vt:lpstr>
      <vt:lpstr>AIM_Grant_Requirement__c.AIM_Status_LFA__c</vt:lpstr>
      <vt:lpstr>AIM_Grant_Requirement__c.AIM_Status_PR__c</vt:lpstr>
      <vt:lpstr>AIM_Grant_Requirement__c.Annual_Grant_Reporting__Requirements.AIM_Functional_Areas__c</vt:lpstr>
      <vt:lpstr>AIM_Grant_Requirement__c.Annual_Grant_Reporting__Requirements.AIM_Status_LFA__c</vt:lpstr>
      <vt:lpstr>AIM_Grant_Requirement__c.Annual_Grant_Reporting__Requirements.AIM_Status_PR__c</vt:lpstr>
      <vt:lpstr>AIM_Grant_Requirement__c.Findings_and_Recomendations.AIM_Functional_Areas__c</vt:lpstr>
      <vt:lpstr>AIM_Grant_Requirement__c.Findings_and_Recomendations.AIM_Status_LFA__c</vt:lpstr>
      <vt:lpstr>AIM_Grant_Requirement__c.Findings_and_Recomendations.AIM_Status_PR__c</vt:lpstr>
      <vt:lpstr>AIM_Grant_Requirement__c.Grant_Requirements.AIM_Functional_Areas__c</vt:lpstr>
      <vt:lpstr>AIM_Grant_Requirement__c.Grant_Requirements.AIM_Status_LFA__c</vt:lpstr>
      <vt:lpstr>AIM_Grant_Requirement__c.Grant_Requirements.AIM_Status_PR__c</vt:lpstr>
      <vt:lpstr>AIM_Grant_Requirement__c.Management_Actions.AIM_Functional_Areas__c</vt:lpstr>
      <vt:lpstr>AIM_Grant_Requirement__c.Management_Actions.AIM_Status_LFA__c</vt:lpstr>
      <vt:lpstr>AIM_Grant_Requirement__c.Management_Actions.AIM_Status_PR__c</vt:lpstr>
      <vt:lpstr>AIM_Grant_Requirement__c.Master.AIM_Functional_Areas__c</vt:lpstr>
      <vt:lpstr>AIM_Grant_Requirement__c.Master.AIM_Status_LFA__c</vt:lpstr>
      <vt:lpstr>AIM_Grant_Requirement__c.Master.AIM_Status_PR__c</vt:lpstr>
      <vt:lpstr>AIM_Impact_Disagaggregation_Results__c.AIM_Result_Source_PR__c</vt:lpstr>
      <vt:lpstr>AIM_Impact_Disagaggregation_Results__c.AIM_Verified_Result_Source_LFA__c</vt:lpstr>
      <vt:lpstr>AIM_Impact_Disaggregation__c.AIM_Baseline_Year__c</vt:lpstr>
      <vt:lpstr>AIM_Impact_Indicator__c.AIM_Baseline_Year__c</vt:lpstr>
      <vt:lpstr>AIM_Impact_Indicator_Targets_Results__c.AIM_Data_Source_Result_LFA__c</vt:lpstr>
      <vt:lpstr>AIM_Impact_Indicator_Targets_Results__c.AIM_Data_Source_Result_PR__c</vt:lpstr>
      <vt:lpstr>AIM_Impact_Indicator_Targets_Results__c.AIM_Due_for_Reporting__c</vt:lpstr>
      <vt:lpstr>AIM_Impact_Indicator_Targets_Results__c.AIM_Verification_Method_LFA__c</vt:lpstr>
      <vt:lpstr>AIM_Impact_Indicator_Targets_Results__c.AIM_Year_of_Result_LFA__c</vt:lpstr>
      <vt:lpstr>AIM_Impact_Indicator_Targets_Results__c.AIM_Year_of_Result_PR__c</vt:lpstr>
      <vt:lpstr>AIM_Impact_Indicator_Targets_Results__c.AIM_Year_of_Target__c</vt:lpstr>
      <vt:lpstr>AIM_Implementation_Period__c.AIM_Grant_Currency__c</vt:lpstr>
      <vt:lpstr>AIM_Opt_Ins__c.AIM_Tab_Name__c</vt:lpstr>
      <vt:lpstr>AIM_Opt_Ins__c.AIM_Type__c</vt:lpstr>
      <vt:lpstr>AIM_Outcome_Disaggregation__c.AIM_Baseline_Year__c</vt:lpstr>
      <vt:lpstr>AIM_Outcome_Disaggregation_Results__c.AIM_Result_Source_PR__c</vt:lpstr>
      <vt:lpstr>AIM_Outcome_Disaggregation_Results__c.AIM_Verified_Result_Source_LFA__c</vt:lpstr>
      <vt:lpstr>AIM_Outcome_Indicator__c.AIM_Baseline_Year__c</vt:lpstr>
      <vt:lpstr>AIM_Outcome_Indicator_Targets_Result__c.AIM_Data_Source_Result_LFA__c</vt:lpstr>
      <vt:lpstr>AIM_Outcome_Indicator_Targets_Result__c.AIM_Data_Source_Result_PR__c</vt:lpstr>
      <vt:lpstr>AIM_Outcome_Indicator_Targets_Result__c.AIM_Due_for_Reporting__c</vt:lpstr>
      <vt:lpstr>AIM_Outcome_Indicator_Targets_Result__c.AIM_Verification_Method_LFA__c</vt:lpstr>
      <vt:lpstr>AIM_Outcome_Indicator_Targets_Result__c.AIM_Year_of_Result_LFA__c</vt:lpstr>
      <vt:lpstr>AIM_Outcome_Indicator_Targets_Result__c.AIM_Year_of_Result_PR__c</vt:lpstr>
      <vt:lpstr>AIM_Outcome_Indicator_Targets_Result__c.AIM_Year_of_Target__c</vt:lpstr>
      <vt:lpstr>AIM_Performance__c.AIM_Major_Issues_Identified_LFA__c</vt:lpstr>
      <vt:lpstr>AIM_Performance__c.AIM_Overall_Rating_LFA__c</vt:lpstr>
      <vt:lpstr>AIM_Performance__c.AIM_Quantitative_Indicator_LFA__c</vt:lpstr>
      <vt:lpstr>AIM_Procurement__c.AIM_Expiry_Response_LFA__c</vt:lpstr>
      <vt:lpstr>AIM_Procurement__c.AIM_PQR_Response_LFA__c</vt:lpstr>
      <vt:lpstr>AIM_Procurement__c.AIM_PQR_Response_PR__c</vt:lpstr>
      <vt:lpstr>AIM_Procurement__c.AIM_Stock_Out_Response_LFA__c</vt:lpstr>
      <vt:lpstr>AIM_Quarterly_Cash_Forecast__c.AIM_Type__c</vt:lpstr>
      <vt:lpstr>AIM_WPTM_Results__c.AIM_Progress_Status_LFA__c</vt:lpstr>
      <vt:lpstr>AIM_WPTM_Results__c.AIM_Progress_Status_PR__c</vt:lpstr>
      <vt:lpstr>Available_Cash</vt:lpstr>
      <vt:lpstr>ModuleColumn</vt:lpstr>
      <vt:lpstr>ModuleStart</vt:lpstr>
      <vt:lpstr>NewStatus</vt:lpstr>
      <vt:lpstr>PICKLISTKEYVALUEPAIR</vt:lpstr>
      <vt:lpstr>WPTM_1C!PR_SDA</vt:lpstr>
      <vt:lpstr>'Budget Variance_2F'!Print_Area</vt:lpstr>
      <vt:lpstr>'Cash Forecast_8A'!Print_Area</vt:lpstr>
      <vt:lpstr>'Coverage Indicators_1B'!Print_Area</vt:lpstr>
      <vt:lpstr>CoverSheet!Print_Area</vt:lpstr>
      <vt:lpstr>Disaggregation_1A!Print_Area</vt:lpstr>
      <vt:lpstr>Disaggregation_1B!Print_Area</vt:lpstr>
      <vt:lpstr>'Financial Triggers_10'!Print_Area</vt:lpstr>
      <vt:lpstr>'Grant Management_4'!Print_Area</vt:lpstr>
      <vt:lpstr>'Impact Outcome Indicators_1A'!Print_Area</vt:lpstr>
      <vt:lpstr>'LFA Authorization_9B'!Print_Area</vt:lpstr>
      <vt:lpstr>'LFA Expenditure_7B'!Print_Area</vt:lpstr>
      <vt:lpstr>'LFA_Findings&amp;Recommendations_6'!Print_Area</vt:lpstr>
      <vt:lpstr>'PR Authorization_9A'!Print_Area</vt:lpstr>
      <vt:lpstr>'PR Cash Reconciliation_2A,B,C,D'!Print_Area</vt:lpstr>
      <vt:lpstr>'PR Expenditure_7A'!Print_Area</vt:lpstr>
      <vt:lpstr>'PR-LFA Evaluation_5'!Print_Area</vt:lpstr>
      <vt:lpstr>Procurement_3!Print_Area</vt:lpstr>
      <vt:lpstr>'Request and Recommendation_8B'!Print_Area</vt:lpstr>
      <vt:lpstr>'SR_Cash Reconciliation_2E'!Print_Area</vt:lpstr>
      <vt:lpstr>WPTM_1C!Print_Area</vt:lpstr>
      <vt:lpstr>'Coverage Indicators_1B'!Print_Titles</vt:lpstr>
      <vt:lpstr>Disaggregation_1A!Print_Titles</vt:lpstr>
      <vt:lpstr>Disaggregation_1B!Print_Titles</vt:lpstr>
      <vt:lpstr>'Impact Outcome Indicators_1A'!Print_Titles</vt:lpstr>
      <vt:lpstr>'LFA_Findings&amp;Recommendations_6'!Print_Titles</vt:lpstr>
      <vt:lpstr>'SR_Cash Reconciliation_2E'!Print_Titles</vt:lpstr>
      <vt:lpstr>WPTM_1C!Print_Titles</vt:lpstr>
      <vt:lpstr>StatusValues</vt:lpstr>
      <vt:lpstr>WPTM_1C!TEST</vt:lpstr>
      <vt:lpstr>XAuthorInvalidPicklistData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Core_PUDR_Form_en</dc:title>
  <dc:subject>&amp;lt;p&amp;gt;Sheet2  Definitions-lists-EFR  Memo Malaria  Memo TB  Memo HIV  Annex for additional info  LFA_Annex-SR Financials  LFA_Bank Details_7C  LFA_DisbursementRecommendation7  LFA_Overall Performance_6  Sheet1  LFA_Disbursement Recommend_5B  LFA_Cash Reconciliation_5A  LFA_Findings&amp;amp;amp;Recommendations  LFA_Procurement Info_4  LF&amp;lt;/p&amp;gt;</dc:subject>
  <dc:creator>Genc Kastrati</dc:creator>
  <dc:description>&amp;lt;p&amp;gt;Sheet2  Definitions-lists-EFR  Memo Malaria  Memo TB  Memo HIV  Annex for additional info  LFA_Annex-SR Financials  LFA_Bank Details_7C  LFA_DisbursementRecommendation7  LFA_Overall Performance_6  Sheet1  LFA_Disbursement Recommend_5B  LFA_Cash Reconciliation_5A  LFA_Findings&amp;amp;amp;Recommendations  LFA_Procurement Info_4  LF&amp;lt;/p&amp;gt;</dc:description>
  <cp:lastModifiedBy>Fidelie Kalambayi</cp:lastModifiedBy>
  <cp:lastPrinted>2016-05-10T13:14:23Z</cp:lastPrinted>
  <dcterms:created xsi:type="dcterms:W3CDTF">2005-11-03T14:33:15Z</dcterms:created>
  <dcterms:modified xsi:type="dcterms:W3CDTF">2018-06-12T08:15:56Z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
    <vt:lpwstr>Document</vt:lpwstr>
  </property>
  <property fmtid="{D5CDD505-2E9C-101B-9397-08002B2CF9AE}" pid="3" name="ContentTypeId">
    <vt:lpwstr>0x01010060AF44C4CE004F90858730CECCCDDE18004D250A5139136E4EB6C28921B539BB2E</vt:lpwstr>
  </property>
  <property fmtid="{D5CDD505-2E9C-101B-9397-08002B2CF9AE}" pid="4" name="EktContentLanguage">
    <vt:i4>1033</vt:i4>
  </property>
  <property fmtid="{D5CDD505-2E9C-101B-9397-08002B2CF9AE}" pid="5" name="EktQuickLink">
    <vt:lpwstr>DownloadAsset.aspx?id=7132</vt:lpwstr>
  </property>
  <property fmtid="{D5CDD505-2E9C-101B-9397-08002B2CF9AE}" pid="6" name="EktContentType">
    <vt:i4>101</vt:i4>
  </property>
  <property fmtid="{D5CDD505-2E9C-101B-9397-08002B2CF9AE}" pid="7" name="EktContentSubType">
    <vt:i4>0</vt:i4>
  </property>
  <property fmtid="{D5CDD505-2E9C-101B-9397-08002B2CF9AE}" pid="8" name="EktFolderName">
    <vt:lpwstr/>
  </property>
  <property fmtid="{D5CDD505-2E9C-101B-9397-08002B2CF9AE}" pid="9" name="EktCmsPath">
    <vt:lpwstr>&amp;lt;p&amp;gt;Sheet2  Definitions-lists-EFR  Memo Malaria  Memo TB  Memo HIV  Annex for additional info  LFA_Annex-SR Financials  LFA_Bank Details_7C  LFA_DisbursementRecommendation7  LFA_Overall Performance_6  Sheet1  LFA_Disbursement Recommend_5B  LFA_Cash R</vt:lpwstr>
  </property>
  <property fmtid="{D5CDD505-2E9C-101B-9397-08002B2CF9AE}" pid="10" name="EktExpiryType">
    <vt:i4>1</vt:i4>
  </property>
  <property fmtid="{D5CDD505-2E9C-101B-9397-08002B2CF9AE}" pid="11" name="EktDateCreated">
    <vt:filetime>2011-04-20T17:17:55Z</vt:filetime>
  </property>
  <property fmtid="{D5CDD505-2E9C-101B-9397-08002B2CF9AE}" pid="12" name="EktDateModified">
    <vt:filetime>2011-04-20T17:18:09Z</vt:filetime>
  </property>
  <property fmtid="{D5CDD505-2E9C-101B-9397-08002B2CF9AE}" pid="13" name="EktTaxCategory">
    <vt:lpwstr> #eksep# \Navigation\documents\core\forms #eksep# </vt:lpwstr>
  </property>
  <property fmtid="{D5CDD505-2E9C-101B-9397-08002B2CF9AE}" pid="14" name="EktDisabledTaxCategory">
    <vt:lpwstr/>
  </property>
  <property fmtid="{D5CDD505-2E9C-101B-9397-08002B2CF9AE}" pid="15" name="EktCmsSize">
    <vt:i4>743424</vt:i4>
  </property>
  <property fmtid="{D5CDD505-2E9C-101B-9397-08002B2CF9AE}" pid="16" name="EktSearchable">
    <vt:i4>1</vt:i4>
  </property>
  <property fmtid="{D5CDD505-2E9C-101B-9397-08002B2CF9AE}" pid="17" name="EktEDescription">
    <vt:lpwstr>Summary &amp;lt;p&amp;gt;Sheet2  Definitions-lists-EFR  Memo Malaria  Memo TB  Memo HIV  Annex for additional info  LFA_Annex-SR Financials  LFA_Bank Details_7C  LFA_DisbursementRecommendation7  LFA_Overall Performance_6  Sheet1  LFA_Disbursement Recommend_5B  LF</vt:lpwstr>
  </property>
  <property fmtid="{D5CDD505-2E9C-101B-9397-08002B2CF9AE}" pid="18" name="EktFile_Size">
    <vt:lpwstr>720 KB</vt:lpwstr>
  </property>
  <property fmtid="{D5CDD505-2E9C-101B-9397-08002B2CF9AE}" pid="19" name="EktFile_Type">
    <vt:lpwstr>XLS</vt:lpwstr>
  </property>
  <property fmtid="{D5CDD505-2E9C-101B-9397-08002B2CF9AE}" pid="20" name="ekttaxonomyenabled">
    <vt:i4>1</vt:i4>
  </property>
  <property fmtid="{D5CDD505-2E9C-101B-9397-08002B2CF9AE}" pid="21" name="SV_QUERY_LIST_4F35BF76-6C0D-4D9B-82B2-816C12CF3733">
    <vt:lpwstr>empty_477D106A-C0D6-4607-AEBD-E2C9D60EA279</vt:lpwstr>
  </property>
  <property fmtid="{D5CDD505-2E9C-101B-9397-08002B2CF9AE}" pid="22" name="APPBUILDER_RUNTIME_FILE">
    <vt:lpwstr>true</vt:lpwstr>
  </property>
</Properties>
</file>